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6912" windowHeight="2640" activeTab="0"/>
  </bookViews>
  <sheets>
    <sheet name="Test de compensation" sheetId="1" r:id="rId1"/>
    <sheet name="Calculs détaillés" sheetId="2" r:id="rId2"/>
    <sheet name="Notice explicative" sheetId="3" r:id="rId3"/>
  </sheets>
  <definedNames>
    <definedName name="_xlnm.Print_Area" localSheetId="0">'Test de compensation'!$A$61:$K$175</definedName>
  </definedNames>
  <calcPr fullCalcOnLoad="1"/>
</workbook>
</file>

<file path=xl/sharedStrings.xml><?xml version="1.0" encoding="utf-8"?>
<sst xmlns="http://schemas.openxmlformats.org/spreadsheetml/2006/main" count="672" uniqueCount="426">
  <si>
    <t>Prix du foncier public</t>
  </si>
  <si>
    <t>Coûts d'exploitation TTC</t>
  </si>
  <si>
    <t>Total subventions</t>
  </si>
  <si>
    <t>Plan de financement détaillé de l'opération</t>
  </si>
  <si>
    <t>ACCES AU LOGEMENT DES COMMUNAUTES MARGINALISEES</t>
  </si>
  <si>
    <t>Rappel : Plan de financement de l'investissement en infrastructure</t>
  </si>
  <si>
    <t>Les coûts bruts hors aides (art.5.3 dont art.5.3.d relatif aux investissements)</t>
  </si>
  <si>
    <t>Exo</t>
  </si>
  <si>
    <t>équivalent-subvention du bénéfice de taux d'intérêt des prêts règlementés - gain d'annuités, valeur actuelle</t>
  </si>
  <si>
    <t>Les recettes générées par l'investissement (art.5.4)</t>
  </si>
  <si>
    <t>Equivalent-subvention de l'exonération de TFPB</t>
  </si>
  <si>
    <t>Recettes produits annexes : recettes générées par la vente de Kwh photovoltaiques</t>
  </si>
  <si>
    <t>Compensation sous forme de subventions directes : montant des subventions directes octroyées, dont FEDER</t>
  </si>
  <si>
    <t>Compensation sous forme d'exonération de TFPB : exonération années N+3 à N+25</t>
  </si>
  <si>
    <t>TFPB (hors exonération)</t>
  </si>
  <si>
    <t>TVA (au taux de référence du marché - taux normal)</t>
  </si>
  <si>
    <t>Charge de garantie des emprunts hors aides (aux conditions CGLLS)</t>
  </si>
  <si>
    <t>CGLLS (prélèvement)</t>
  </si>
  <si>
    <t>Total recettes générées</t>
  </si>
  <si>
    <t>FEDER</t>
  </si>
  <si>
    <t>et à l'exécution des obligations de service public par les OHLM mandatés par l'Etat. Accès au logement communautés marginalisées</t>
  </si>
  <si>
    <t>Test prévisionnel établi sur la durée de remboursement du prêt principal</t>
  </si>
  <si>
    <t>recettes fiscales générées (TVA - taux réduit)</t>
  </si>
  <si>
    <t>Coûts liés aux investissements en travaux HT (foncier - bâti - honoraires)</t>
  </si>
  <si>
    <t>Loyers (sous OSP tarifaires) - valeur actuelle</t>
  </si>
  <si>
    <t>produits annexes (vente Kwh photovoltaique) - valeur actuelle</t>
  </si>
  <si>
    <t>Impayés et vacances (taux de référence DHUP) - valeur actuelle</t>
  </si>
  <si>
    <t>Equivalent-subvention du bénéfice des prêts règlementés CDC et 1%</t>
  </si>
  <si>
    <t>Equivalent-subvention du bénéfice de taux réduit de TVA</t>
  </si>
  <si>
    <t>Equivalent-subvention du bénéfice de garantie publique gratuite / coût CGLLS</t>
  </si>
  <si>
    <t>produit annuel de la vente</t>
  </si>
  <si>
    <t>Annuités prêt compl.1</t>
  </si>
  <si>
    <t>TFPB acquitée</t>
  </si>
  <si>
    <t>foncier référence</t>
  </si>
  <si>
    <t>foncier acquité</t>
  </si>
  <si>
    <t>Méthode de calcul retenue pour la compensation d'opération de construction de logements adaptés</t>
  </si>
  <si>
    <t>Coût des investissements nécessaires retenu : Bâti HT + foncier HT + frais d'actes et d'honoraires HT</t>
  </si>
  <si>
    <t>Fiscalité : TFPB de référence, TVA de référence (hors aides)</t>
  </si>
  <si>
    <t>Compensation sous forme de taux réduits de TVA : différentiel avec le taux de référence (taux normal)</t>
  </si>
  <si>
    <t>Compensation sous forme de foncier gratuit : équivalent-subvention / prix de référence</t>
  </si>
  <si>
    <t>Compensation sous forme de garantie publique : équivalent-subvention de la garantie publique / coût de la garantie CGLLS</t>
  </si>
  <si>
    <t>Recettes locatives : recettes générées compte tenu des OSP tarifaires</t>
  </si>
  <si>
    <t>Non recettes locatives : pertes liées à la vacance et aux impayés (taux de référence DHUP)</t>
  </si>
  <si>
    <t>source</t>
  </si>
  <si>
    <r>
      <t xml:space="preserve">Equivalent-subvention d'une garantie gratuite collectivité locale, </t>
    </r>
    <r>
      <rPr>
        <b/>
        <i/>
        <sz val="8"/>
        <color indexed="10"/>
        <rFont val="Arial"/>
        <family val="2"/>
      </rPr>
      <t>si garantie CGLLS payante : inscrire 0</t>
    </r>
  </si>
  <si>
    <t>ans (durée du prêt principal)</t>
  </si>
  <si>
    <t>Coût total de l'investissement HT</t>
  </si>
  <si>
    <t>coût de l'investissement à financer hors aides (bâti HT, foncier HT, honoraire HT)</t>
  </si>
  <si>
    <t>Compensation sous forme de prêts bonifiés : équivalent-subvention de la bonification d'intérêt / taux de référence du marché</t>
  </si>
  <si>
    <t>Taux applicable au calcul de l'équivalent-subvention</t>
  </si>
  <si>
    <t>Coûts bruts occasionnés hors aides ( investissement - exploitation (articles 5.3.a et 5.3.d))</t>
  </si>
  <si>
    <t>TVA au taux de référence du marché - hors aides (taux normal)</t>
  </si>
  <si>
    <r>
      <t>données relevant d'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découlant de l'exécution du SIEG de logement social et imposées à l'OHLM par mandat de l'Etat</t>
    </r>
  </si>
  <si>
    <t>Coûts de l'investissement HT</t>
  </si>
  <si>
    <t>Emprunts contractés par l'OHLM</t>
  </si>
  <si>
    <t>ESB exonération temporaire de TFPB</t>
  </si>
  <si>
    <t>recettes nettes annuelles imputables à l'opération</t>
  </si>
  <si>
    <t>TFPB de référence à acquiter hors exonération sur durée du prêt principal - valeur actuelle</t>
  </si>
  <si>
    <r>
      <t xml:space="preserve">non recettes sur durée </t>
    </r>
    <r>
      <rPr>
        <sz val="8"/>
        <rFont val="Arial"/>
        <family val="2"/>
      </rPr>
      <t>d'utilisation</t>
    </r>
    <r>
      <rPr>
        <sz val="8"/>
        <rFont val="Arial"/>
        <family val="0"/>
      </rPr>
      <t xml:space="preserve"> - valeur actuelle -  </t>
    </r>
    <r>
      <rPr>
        <b/>
        <sz val="8"/>
        <rFont val="Arial"/>
        <family val="2"/>
      </rPr>
      <t>OSP occupation sociale</t>
    </r>
  </si>
  <si>
    <t xml:space="preserve">si foncier public, veuillez préciser ci-après la valeur de marché du terrain   = </t>
  </si>
  <si>
    <t>Coût total à financer investissement TTC</t>
  </si>
  <si>
    <t>provision annuelle sur base du ratio moyen de l'organisme par logement</t>
  </si>
  <si>
    <t>Total investissement généré TTC (taux réduit)</t>
  </si>
  <si>
    <t>Gestion et entretien sur durée du prêt principal (provisions)</t>
  </si>
  <si>
    <t>Grosses réparations sur durée du prêt principal (provisions)</t>
  </si>
  <si>
    <t>Défaisance sur durée du prêt principal (provisions)</t>
  </si>
  <si>
    <r>
      <t>Condition</t>
    </r>
    <r>
      <rPr>
        <sz val="8"/>
        <rFont val="Arial"/>
        <family val="2"/>
      </rPr>
      <t xml:space="preserve"> : la compensation ne peut être supérieure aux </t>
    </r>
    <r>
      <rPr>
        <b/>
        <sz val="8"/>
        <rFont val="Arial"/>
        <family val="2"/>
      </rPr>
      <t>coûts nets</t>
    </r>
    <r>
      <rPr>
        <sz val="8"/>
        <rFont val="Arial"/>
        <family val="2"/>
      </rPr>
      <t xml:space="preserve"> + un </t>
    </r>
    <r>
      <rPr>
        <b/>
        <sz val="8"/>
        <rFont val="Arial"/>
        <family val="2"/>
      </rPr>
      <t>bénéfice raisonnable</t>
    </r>
    <r>
      <rPr>
        <sz val="8"/>
        <rFont val="Arial"/>
        <family val="2"/>
      </rPr>
      <t xml:space="preserve"> (art.5.1)</t>
    </r>
  </si>
  <si>
    <t>(rendement des capitaux propres moyen (art.5.8) sur durée d'ammortissement)</t>
  </si>
  <si>
    <t>Notice explicative précisant les dispositions de la décision CE, leur application effective à l'opération de rénovation thermique et les méthodes de calcul retenues</t>
  </si>
  <si>
    <t>Bases juridiques du régime des compensations de service public applicable aux entreprises de logement social</t>
  </si>
  <si>
    <r>
      <t xml:space="preserve">recettes annuelles cumulées sur durée </t>
    </r>
    <r>
      <rPr>
        <sz val="8"/>
        <rFont val="Arial"/>
        <family val="2"/>
      </rPr>
      <t>d'utilisation</t>
    </r>
    <r>
      <rPr>
        <sz val="8"/>
        <rFont val="Arial"/>
        <family val="0"/>
      </rPr>
      <t xml:space="preserve"> - valeur actuelle</t>
    </r>
  </si>
  <si>
    <t>Taux de référence retenus</t>
  </si>
  <si>
    <t>Bénéfice raisonnable : recomposition des fonds propres sur durée d'amortissement, rémunérés au tx moyen du Livret A (DHUP)</t>
  </si>
  <si>
    <t>Fonds propres investis par l'OHLM</t>
  </si>
  <si>
    <t>Taux applicable année de référence</t>
  </si>
  <si>
    <t>Notice explicative du régime de la compensation et méthode de calcul retenue</t>
  </si>
  <si>
    <t xml:space="preserve">  </t>
  </si>
  <si>
    <t>Détail des calculs automatiques des coûts nets, du bénéfice raisonnable et du montant de la compensation</t>
  </si>
  <si>
    <t>ESB avantage de taux prêts règlementés</t>
  </si>
  <si>
    <t>ESB garantie publique collectivité locale</t>
  </si>
  <si>
    <t>taux de cocompensation de l'opération par le FEDER</t>
  </si>
  <si>
    <t>Les coûts nets = coûts bruts - les recettes éventuelles tirées de l'investissement (art.5.2) =</t>
  </si>
  <si>
    <t>note justificative du mandat des OHLM chargés de la gestion du SIEG de logement social en droit interne</t>
  </si>
  <si>
    <t>2005/842/CE</t>
  </si>
  <si>
    <t>Décision d'application de l'article 106.2 TFUE aux compensations octroyées aux entreprises chargées de la gestion du SIEG de logement social</t>
  </si>
  <si>
    <t>dans les limites où l'application de ces règles ne fait pas échec à l'accomplissement en droit ou en fait de la mission particulière qui leur a été impartie.</t>
  </si>
  <si>
    <t>Le développement des échanges ne doit pas être affecté dans une mesure contraire à l'intérêt de l'Union."</t>
  </si>
  <si>
    <t>« Les entreprises chargées de la gestion de services d'intérêt économique général (…) sont soumises aux règles des traités, notamment de concurrence,</t>
  </si>
  <si>
    <r>
      <t xml:space="preserve">décision CE </t>
    </r>
    <r>
      <rPr>
        <u val="single"/>
        <sz val="8"/>
        <rFont val="Arial"/>
        <family val="2"/>
      </rPr>
      <t>d'application directe</t>
    </r>
    <r>
      <rPr>
        <sz val="8"/>
        <rFont val="Arial"/>
        <family val="2"/>
      </rPr>
      <t xml:space="preserve"> aux OHLM et SEM (sans transposition en droit interne)</t>
    </r>
  </si>
  <si>
    <t xml:space="preserve"> </t>
  </si>
  <si>
    <t>%</t>
  </si>
  <si>
    <t>Total</t>
  </si>
  <si>
    <t>durée</t>
  </si>
  <si>
    <t>Question</t>
  </si>
  <si>
    <t>Surface totale en m2</t>
  </si>
  <si>
    <t>Bénéfice raisonnable</t>
  </si>
  <si>
    <t>Coûts nets + bénéfice raisonnable</t>
  </si>
  <si>
    <t>Opération</t>
  </si>
  <si>
    <t>N° Presage</t>
  </si>
  <si>
    <t>PO 2007-2013</t>
  </si>
  <si>
    <t>OSP</t>
  </si>
  <si>
    <t>Commentaire - méthode de calcul</t>
  </si>
  <si>
    <t>m2 de surface corrigée</t>
  </si>
  <si>
    <t>m2 de surface habitable</t>
  </si>
  <si>
    <t>recettes brutes générées - total</t>
  </si>
  <si>
    <t>Prêt principal</t>
  </si>
  <si>
    <t>Année</t>
  </si>
  <si>
    <t>valeur actuelle</t>
  </si>
  <si>
    <t>taux d'actualisation</t>
  </si>
  <si>
    <t>total recettes nettes imputables à l'opération FEDER</t>
  </si>
  <si>
    <t>prêt complémentaire 1</t>
  </si>
  <si>
    <t>prêt complémentaire 2</t>
  </si>
  <si>
    <t>prêt complémentaire 3</t>
  </si>
  <si>
    <t>cumul</t>
  </si>
  <si>
    <t>date de référence</t>
  </si>
  <si>
    <t>Coût garantie CGLLS</t>
  </si>
  <si>
    <t>assistance juridique en ligne / USH-Bruxelles / Aides d'Etat - régime des compensations de service public - décision d'exemption de notification</t>
  </si>
  <si>
    <t>subvention Etat</t>
  </si>
  <si>
    <t>subvention ADEME</t>
  </si>
  <si>
    <t>subvention FEDER</t>
  </si>
  <si>
    <t>subvention Département</t>
  </si>
  <si>
    <t>subvention Région</t>
  </si>
  <si>
    <t>subvention EPCI</t>
  </si>
  <si>
    <t>subvention Commune</t>
  </si>
  <si>
    <t>subvention 1% logement</t>
  </si>
  <si>
    <t>autres subventions</t>
  </si>
  <si>
    <t>taux</t>
  </si>
  <si>
    <t>Tx de référence d'un prêt sur le marché</t>
  </si>
  <si>
    <t>Taux d'actualisation retenu</t>
  </si>
  <si>
    <t>Compensation des coûts nets</t>
  </si>
  <si>
    <t>COUTS</t>
  </si>
  <si>
    <t>RECETTES</t>
  </si>
  <si>
    <t>hors prêts avec avantage de taux</t>
  </si>
  <si>
    <t>Subventions à l'investissement</t>
  </si>
  <si>
    <t>dont charge d'intérêts</t>
  </si>
  <si>
    <t>Impayés et vacance</t>
  </si>
  <si>
    <t>emprunt total =</t>
  </si>
  <si>
    <t>Equivalent subvention d'une garantie de collectivité locale</t>
  </si>
  <si>
    <t>Taux de cocompensation du FEDER</t>
  </si>
  <si>
    <t>article 2.1.c</t>
  </si>
  <si>
    <t>article 5.3.d</t>
  </si>
  <si>
    <t>considérant 11</t>
  </si>
  <si>
    <t>2012/21/UE</t>
  </si>
  <si>
    <t>Taux de compensation de l'opération</t>
  </si>
  <si>
    <t>Total recettes</t>
  </si>
  <si>
    <t>article 6.2</t>
  </si>
  <si>
    <t>Test d'absence de surcompensation</t>
  </si>
  <si>
    <t>Total coûts bruts</t>
  </si>
  <si>
    <t>Recettes générées - valeur actuelle - cf feuillet 2 exploitation sur durée du prêt principal (article 5.4)</t>
  </si>
  <si>
    <t>article 2.2</t>
  </si>
  <si>
    <t>mandat supérieur à 10 ans - investissements importants - spécificité du SIEG de logement social (considérant 12)</t>
  </si>
  <si>
    <t>Coûts nets + bénéfice raisonnable (articles 5.5 à 5.8)</t>
  </si>
  <si>
    <t>report de surcompensation limité à 10% de la compensation annuelle en déduction de futures compensations</t>
  </si>
  <si>
    <t>en déduction de futures compensations (max 10% compensation annuelle) soit un report maxi de surcompensation =</t>
  </si>
  <si>
    <t>Compensation (articles 2.1.c et 4.d)</t>
  </si>
  <si>
    <t>exemption de notification hors seuil des compensations de certains SIEG dont le logement social</t>
  </si>
  <si>
    <t>Annuités prêt principal</t>
  </si>
  <si>
    <t>Annuités prêt compl. 3</t>
  </si>
  <si>
    <t>Annuités cumulées</t>
  </si>
  <si>
    <t>Garantie</t>
  </si>
  <si>
    <t>Investissement</t>
  </si>
  <si>
    <t>COMPENSATION</t>
  </si>
  <si>
    <t>BENEFICE</t>
  </si>
  <si>
    <t>CONTRÔLE</t>
  </si>
  <si>
    <t>COUT TOTAL</t>
  </si>
  <si>
    <t>Coûts nets</t>
  </si>
  <si>
    <t>Loyers</t>
  </si>
  <si>
    <t>Pertes</t>
  </si>
  <si>
    <t>au taux règlementé</t>
  </si>
  <si>
    <t>au taux de référence</t>
  </si>
  <si>
    <t>avantage gain d'annuités</t>
  </si>
  <si>
    <t>durée prêt principal</t>
  </si>
  <si>
    <t>Subventions</t>
  </si>
  <si>
    <t>Total financement</t>
  </si>
  <si>
    <t>UE - Traité</t>
  </si>
  <si>
    <t>UE - Décision CE</t>
  </si>
  <si>
    <t>106.2</t>
  </si>
  <si>
    <t>La compensation est compatible avec le Traité si elle n'excède pas ce qui est nécessaire à l'exécution du SIEG de logement social (coûts moins les recettes plus un bénéfice raisonnable).</t>
  </si>
  <si>
    <t>ESB gain d'annuités</t>
  </si>
  <si>
    <t>Absence de surcompensation - report et remboursement de surcompensations (articles 5.1, 5.10 et 6.2)</t>
  </si>
  <si>
    <t xml:space="preserve">Durée d'utilisation </t>
  </si>
  <si>
    <t>ESB avantage TVA taux réduit</t>
  </si>
  <si>
    <t>Produits annexes vente KWh photovoltaïque</t>
  </si>
  <si>
    <t>Coût nets (coûts bruts - recettes)</t>
  </si>
  <si>
    <t>total des subventions à l'investissement mobilisées, y compris FEDER</t>
  </si>
  <si>
    <t>ans</t>
  </si>
  <si>
    <r>
      <t xml:space="preserve">sur durée </t>
    </r>
    <r>
      <rPr>
        <sz val="8"/>
        <rFont val="Arial"/>
        <family val="2"/>
      </rPr>
      <t>d'utilisation</t>
    </r>
    <r>
      <rPr>
        <sz val="8"/>
        <rFont val="Arial"/>
        <family val="0"/>
      </rPr>
      <t xml:space="preserve"> - valeur actuelle</t>
    </r>
  </si>
  <si>
    <t>dont taux de compensation FEDER</t>
  </si>
  <si>
    <t>Solde (2)</t>
  </si>
  <si>
    <t>(2) si le solde est positif, il s'agit de la marge d'aide avant surcompensation, s'il est négatif, il s'agit de la surcompensation</t>
  </si>
  <si>
    <t>taux de compensation (3)</t>
  </si>
  <si>
    <t>(3) le taux de compensation doit être inférieur ou égal à 100%</t>
  </si>
  <si>
    <r>
      <t>Nature de l'opération</t>
    </r>
    <r>
      <rPr>
        <sz val="8"/>
        <rFont val="Arial"/>
        <family val="0"/>
      </rPr>
      <t xml:space="preserve"> : investissement dans une infrastructure nécessaire au fonctionnement du SIEG de logement social</t>
    </r>
  </si>
  <si>
    <t>recomposition des fonds propres investis rémunérés au taux du livret A (art.5.8)</t>
  </si>
  <si>
    <t>Contrôle d'absence de surcompensation</t>
  </si>
  <si>
    <t>part du FEDER / compensation</t>
  </si>
  <si>
    <t>Aide d'Etat compatible si absence de surcompensation : décision</t>
  </si>
  <si>
    <t>Indicateurs Europe 2020</t>
  </si>
  <si>
    <t>Assistance</t>
  </si>
  <si>
    <t>Feuillet 2</t>
  </si>
  <si>
    <t>Feuillet 3</t>
  </si>
  <si>
    <t>Taux du livret A sur long terme</t>
  </si>
  <si>
    <t>Taux d'impayés de référence</t>
  </si>
  <si>
    <t>Taux de vacance de référence</t>
  </si>
  <si>
    <t>Coûts nets, bénéfice raisonnable et absence de surcompensation (art. 5 décision CE)</t>
  </si>
  <si>
    <t>Caractéristiques de l'opération</t>
  </si>
  <si>
    <t>CCH</t>
  </si>
  <si>
    <t>année de référence</t>
  </si>
  <si>
    <t>si positif : absence de surcompensation</t>
  </si>
  <si>
    <t>si négatif : surcompensation à rembourser</t>
  </si>
  <si>
    <t>CUS</t>
  </si>
  <si>
    <t>Convention APL</t>
  </si>
  <si>
    <t>SIEG</t>
  </si>
  <si>
    <t>article L445.1 CCH complète ce mandat législatif par une convention entreprise par entreprise renouvelable tous les 5 ans</t>
  </si>
  <si>
    <t>Acte législatif de mandat des OHLM et SEM de la gestion du SIEG de logement social, complété par Convention d'Utilité Sociale (CUS) et Convention APL</t>
  </si>
  <si>
    <t>article L411 CCH définit les missions particulières imparties au SIEG de logement social, son périmètre et mandate les entreprises chargées de sa gestion</t>
  </si>
  <si>
    <t xml:space="preserve"> Produits annexes : vente KWh photovoltaïque…</t>
  </si>
  <si>
    <t>Vente KWh</t>
  </si>
  <si>
    <t>article 106.2 du Traité sur le fonctionnement de l'Union européenne (TFUE)</t>
  </si>
  <si>
    <t>spécificités du SIEG du logement social, des hôpitaux et autres services sociaux concernés par la décision CE 2012/21.UE</t>
  </si>
  <si>
    <t>Calcul automatique des données nécessaires au contrôle sur base des caractéristiques de l'opération</t>
  </si>
  <si>
    <t>article R353 CCH complète ce mandat législatif par une convention logement par logement définissant les OSP en matière d'occupation des logements</t>
  </si>
  <si>
    <r>
      <t>OSP</t>
    </r>
    <r>
      <rPr>
        <sz val="8"/>
        <color indexed="10"/>
        <rFont val="Arial"/>
        <family val="2"/>
      </rPr>
      <t xml:space="preserve"> - Taux d'augmentation annuelle des loyers</t>
    </r>
  </si>
  <si>
    <r>
      <t>OSP</t>
    </r>
    <r>
      <rPr>
        <sz val="8"/>
        <color indexed="10"/>
        <rFont val="Arial"/>
        <family val="2"/>
      </rPr>
      <t xml:space="preserve"> - Loyer plafond convention APL</t>
    </r>
  </si>
  <si>
    <r>
      <t>OSP</t>
    </r>
    <r>
      <rPr>
        <sz val="8"/>
        <color indexed="10"/>
        <rFont val="Arial"/>
        <family val="0"/>
      </rPr>
      <t xml:space="preserve"> - taux d'impayés de référence</t>
    </r>
  </si>
  <si>
    <r>
      <t>OSP</t>
    </r>
    <r>
      <rPr>
        <sz val="8"/>
        <color indexed="10"/>
        <rFont val="Arial"/>
        <family val="0"/>
      </rPr>
      <t xml:space="preserve"> - taux de vacance de référence</t>
    </r>
  </si>
  <si>
    <t>Pièces justificatives</t>
  </si>
  <si>
    <r>
      <t>OSP</t>
    </r>
    <r>
      <rPr>
        <sz val="8"/>
        <color indexed="10"/>
        <rFont val="Arial"/>
        <family val="0"/>
      </rPr>
      <t xml:space="preserve"> - pertes liées aux taux de vacance et d'impayés</t>
    </r>
  </si>
  <si>
    <t>code présage</t>
  </si>
  <si>
    <t>Note DHUP 281211</t>
  </si>
  <si>
    <t>Délibération</t>
  </si>
  <si>
    <t>Contrat de cession</t>
  </si>
  <si>
    <t>Convention</t>
  </si>
  <si>
    <t>Offre de prêt</t>
  </si>
  <si>
    <t>Donnée de référence DHUP</t>
  </si>
  <si>
    <t>prise en compte des coûts liés aux investissements nécessaires à l'exécution du SIEG</t>
  </si>
  <si>
    <t>Garantie des emprunts</t>
  </si>
  <si>
    <t>Part du FEDER dans la compensation globale</t>
  </si>
  <si>
    <t>% de la subvention FEDER dans l'ensemble de la compensation de l'opération</t>
  </si>
  <si>
    <t>absence de surcompensation de l'opération si inférieur ou égal à 100%</t>
  </si>
  <si>
    <t>Délibération CL</t>
  </si>
  <si>
    <t>UE - Décision CE 2012/21/UE - dispositions spécifiques au SIEG de logement social - articles de référence</t>
  </si>
  <si>
    <t>Droit interne : mandat législatif collectif (CCH) complété par des mandats par entreprise (convention d'utilité sociale) et par logement (convention APL).</t>
  </si>
  <si>
    <t>si valeur négative : surcompensation non nécessaire à l'exécution du SIEG à rembourser ou à reporter partiellement</t>
  </si>
  <si>
    <t>équivalent-subvention du bénéfice d'une garantie gratuite d'une collectivité locale dédiée / garantie payante de la CGLLS</t>
  </si>
  <si>
    <t>nature</t>
  </si>
  <si>
    <t>Mandat OHLM</t>
  </si>
  <si>
    <t>Calcul établi sur base de la durée d'amortissement du prêt principal</t>
  </si>
  <si>
    <t>de fausser la concurrence au sein du marché intérieur en accordant un avantage économique à l'OHLM bénéficiaire, bien que ce</t>
  </si>
  <si>
    <t>Taux de référence du marché : TMO (Trésor)</t>
  </si>
  <si>
    <t>Taux des prêts règlementés (CDC, 1% logement) : taux effectif offre de prêt</t>
  </si>
  <si>
    <t>dernier ne soit pas autorisé par la loi à intervenir sur le marché concurrentiel et dispose d'une compétence territoriale infra nationale.</t>
  </si>
  <si>
    <t>Compensation totale</t>
  </si>
  <si>
    <t>(taux de couverture des coûts nets et du bénéfice raisonnable par le FEDER)</t>
  </si>
  <si>
    <t>(part de la subvention FEDER dans la compensation totale)</t>
  </si>
  <si>
    <t>non nécessaire à l'exécution du SIEG qui doit faire l'objet d'un remboursement car considérée commme étant susceptible</t>
  </si>
  <si>
    <t>Calculs détaillés</t>
  </si>
  <si>
    <t>Décision initiale du 19 décembre 2005 abrogée par la décision 2012/21/UE entrée en application au 31 janvier 2012</t>
  </si>
  <si>
    <t>TVA</t>
  </si>
  <si>
    <t>TFPB</t>
  </si>
  <si>
    <t>Garantie publique</t>
  </si>
  <si>
    <t>Prêts réglementés</t>
  </si>
  <si>
    <t>ESB garantie gratuite</t>
  </si>
  <si>
    <t>sous condition de mandat des OHLM (art.4), note justificative :</t>
  </si>
  <si>
    <t>report de surcompensation éventuelle annuelle</t>
  </si>
  <si>
    <r>
      <t xml:space="preserve">Spécificité : </t>
    </r>
    <r>
      <rPr>
        <sz val="8"/>
        <rFont val="Arial"/>
        <family val="2"/>
      </rPr>
      <t>cofinancement des investissements nécessaires par des aides directes et indirectes, dont FEDER</t>
    </r>
  </si>
  <si>
    <t>Fonds propres investis par l'organisme HLM bénéficiaire du FEDER</t>
  </si>
  <si>
    <t>Aides publiques directes octroyées à l'organisme HLM en compensation, dont FEDER</t>
  </si>
  <si>
    <t>Emprunts contractés par l'organisme HLM bénéficiaire du FEDER</t>
  </si>
  <si>
    <t>ESB gain d'annuité</t>
  </si>
  <si>
    <t>Total coûts nets</t>
  </si>
  <si>
    <t>Solde</t>
  </si>
  <si>
    <r>
      <t xml:space="preserve">Indice de référence </t>
    </r>
    <r>
      <rPr>
        <b/>
        <sz val="8"/>
        <rFont val="Arial"/>
        <family val="2"/>
      </rPr>
      <t>OSP tarifaire</t>
    </r>
  </si>
  <si>
    <t>Le bénéfice raisonnable (art.5.5 à 5.8) sur durée du prêt principal (valeur actuelle)</t>
  </si>
  <si>
    <t>TOTAL BRUT</t>
  </si>
  <si>
    <t>TOTAL NET</t>
  </si>
  <si>
    <t>TOTAL COMPENSATION</t>
  </si>
  <si>
    <t>Voir détail des calculs dans le tableau en feuillet 2 et notice explicative en feuillet 3</t>
  </si>
  <si>
    <t>absence de surcompensation si +</t>
  </si>
  <si>
    <t>La compensation = la somme des "cocompensations" directes et indirectes, dont FEDER</t>
  </si>
  <si>
    <t>Charge d'intérêts des emprunts de référence : charge d'intérêts au taux de référence du marché</t>
  </si>
  <si>
    <t>TOTAL</t>
  </si>
  <si>
    <t>Taux d'actualisation</t>
  </si>
  <si>
    <t>ACCES AU LOGEMENT DES COMMUNAUTES MARGINALISEES - Régime des compensations de service public</t>
  </si>
  <si>
    <t>Contrôle d'absence de surcompensation d'une opération d'investissement en construction ou démolition-reconstruction de logements sociaux adaptés</t>
  </si>
  <si>
    <t>logements sociaux adaptés</t>
  </si>
  <si>
    <t>dont bâti HT</t>
  </si>
  <si>
    <t>dont foncier HT</t>
  </si>
  <si>
    <t>dont honoraires et frais d'actes HT</t>
  </si>
  <si>
    <r>
      <t xml:space="preserve">euros/an sous </t>
    </r>
    <r>
      <rPr>
        <b/>
        <sz val="8"/>
        <rFont val="Arial"/>
        <family val="2"/>
      </rPr>
      <t>OSP tarifaire</t>
    </r>
  </si>
  <si>
    <t>gestion et entretien</t>
  </si>
  <si>
    <t>grosses réparations</t>
  </si>
  <si>
    <t>défaisance</t>
  </si>
  <si>
    <t>Prélèvement CGLLS</t>
  </si>
  <si>
    <t>montant annuel de TFPB à acquiter au terme de la période d'exonération</t>
  </si>
  <si>
    <t>annuel au prorata du nombre de logements de l'opération</t>
  </si>
  <si>
    <t>montant annuel de vente</t>
  </si>
  <si>
    <t>Taux normal de TVA</t>
  </si>
  <si>
    <t>Taux réduit de TVA</t>
  </si>
  <si>
    <t>Durée de référence du calcul</t>
  </si>
  <si>
    <t>Gestion et entretien</t>
  </si>
  <si>
    <t>Grosses réparations</t>
  </si>
  <si>
    <t>Défaisance</t>
  </si>
  <si>
    <t>CGLLS</t>
  </si>
  <si>
    <t>précisez : CDC PLAI</t>
  </si>
  <si>
    <t>précisez : CDC foncier</t>
  </si>
  <si>
    <t>précisez : 1% logement …</t>
  </si>
  <si>
    <t>précisez : …</t>
  </si>
  <si>
    <t>pertes</t>
  </si>
  <si>
    <t>recettes</t>
  </si>
  <si>
    <t>Impayés et vacances</t>
  </si>
  <si>
    <t>recettes nettes</t>
  </si>
  <si>
    <t>Annuités prêt compl. 2</t>
  </si>
  <si>
    <t>Provisions</t>
  </si>
  <si>
    <t>provision pour gestion et entretien sur durée du prêt principal - valeur actuelle</t>
  </si>
  <si>
    <t>provision pour grosses réparations sur durée du prêt principal - valeur actuelle</t>
  </si>
  <si>
    <t>provision pour défaisance sur durée du prêt principal - valeur actuelle</t>
  </si>
  <si>
    <t>taux de pertes</t>
  </si>
  <si>
    <t>Ecart de taux</t>
  </si>
  <si>
    <t>HT</t>
  </si>
  <si>
    <t>TVA de référence</t>
  </si>
  <si>
    <t>équivalent-subvention du bénéfice du taux réduit de TVA</t>
  </si>
  <si>
    <t>équivalent-subvention du bénéfice d'un terrain public gratuit ou à un prix inférieur au prix de référence du marché</t>
  </si>
  <si>
    <t>ESB taux réduit spé SIEG</t>
  </si>
  <si>
    <t>ESB exonération temporaire</t>
  </si>
  <si>
    <t>Foncier</t>
  </si>
  <si>
    <t>Prix de référence</t>
  </si>
  <si>
    <t>prix de revient total du programme HT</t>
  </si>
  <si>
    <t>ESB foncier public</t>
  </si>
  <si>
    <t>si bail emphytéotique public, foncier HT =  montant annuel des loyers multiplié par la durée de référence du calcul :</t>
  </si>
  <si>
    <t>Provisions pour gestion, entretien, grosses réparations et défaisance aux taux moyens de l'OHLM / logement</t>
  </si>
  <si>
    <t>Charge d'intérêts de l'emprunt de référence</t>
  </si>
  <si>
    <t>recomposition des fonds propres investis, rémunérés au taux moyen du Livret A - valeur actuelle</t>
  </si>
  <si>
    <t>Recettes - coûts - compensations - bénéfice raisonnable</t>
  </si>
  <si>
    <t>garantie / emprunt de référence (CGLLS)</t>
  </si>
  <si>
    <t>Emprunt de référence (hors aides)</t>
  </si>
  <si>
    <t>Annuités</t>
  </si>
  <si>
    <t>Intérêts</t>
  </si>
  <si>
    <t>Ammortissmt</t>
  </si>
  <si>
    <t>CRD</t>
  </si>
  <si>
    <t>Tx de référence</t>
  </si>
  <si>
    <t>Garantie de l'emprunt de référence</t>
  </si>
  <si>
    <t>TVA au taux normal</t>
  </si>
  <si>
    <t>Equivalent-subvention du bénéfice d'un foncier public</t>
  </si>
  <si>
    <t>Emprunt de référence hors aides : coûts d'investissement TTC (taux normal) - fonds propres investis</t>
  </si>
  <si>
    <t>Charge de garantie emprunt de référence : charge de garantie au taux CGLLS</t>
  </si>
  <si>
    <r>
      <t xml:space="preserve">coût d'une garantie CGLLS / emprunt de référence - </t>
    </r>
    <r>
      <rPr>
        <b/>
        <sz val="8"/>
        <rFont val="Arial"/>
        <family val="2"/>
      </rPr>
      <t>OSP continuité financière</t>
    </r>
  </si>
  <si>
    <t>TVA de référence (taux normal)</t>
  </si>
  <si>
    <t>Nombre de logements concernés</t>
  </si>
  <si>
    <t>Garantie publique gratuite de collectivités locales ou garantie payante CGLLS (2% du montant du prêt)</t>
  </si>
  <si>
    <t>Prélèvement obligatoire CGLLS au prorata du nombre de logements sur durée du prêt principal - valeur actuelle</t>
  </si>
  <si>
    <t>coût total d'investissement hors aides - recettes locatives et annexes générées par l'opération</t>
  </si>
  <si>
    <t>équivalent-subvention de l'exonération de TFPB (N+3 à N+25), valeur actuelle</t>
  </si>
  <si>
    <t>emplois induits (indicateur MEDDATT)</t>
  </si>
  <si>
    <t>recettes fiscales générées (TFPB) valeur actuelle</t>
  </si>
  <si>
    <t>Charge d'intérêts emprunt de référence hors aides (au taux de référence du marché)</t>
  </si>
  <si>
    <t>Autres subventions directes en cofinancement</t>
  </si>
  <si>
    <t>Nom de l'entreprise</t>
  </si>
  <si>
    <t>Objet : démolition-reconstruction de 15 logements adaptés aux communautés marginalisées</t>
  </si>
  <si>
    <t>référence de la mesure du programme opérationnel</t>
  </si>
  <si>
    <t>préciser : date de dépôt du dossier ou de signature de la convention attributive FEDER</t>
  </si>
  <si>
    <t>dont TVA</t>
  </si>
  <si>
    <t>total recettes fiscales générées</t>
  </si>
  <si>
    <t>au taux réduit de TVA propre au SIEG de logement social</t>
  </si>
  <si>
    <t>TTC au taux réduit de TVA propre au SIEG de logement social</t>
  </si>
  <si>
    <t>provision annuelle pour le programme sur base du ratio moyen de l'organisme par logement</t>
  </si>
  <si>
    <r>
      <t xml:space="preserve">euros/m2/an de surface corrigée </t>
    </r>
    <r>
      <rPr>
        <b/>
        <sz val="8"/>
        <rFont val="Arial"/>
        <family val="2"/>
      </rPr>
      <t>OSP tarifaire - accessibilité tarifaire</t>
    </r>
  </si>
  <si>
    <r>
      <t xml:space="preserve">taux d'impayés de référence DHUP </t>
    </r>
    <r>
      <rPr>
        <b/>
        <sz val="8"/>
        <rFont val="Arial"/>
        <family val="2"/>
      </rPr>
      <t>OSP attributions - occupation sociale des logements - risques</t>
    </r>
  </si>
  <si>
    <r>
      <t xml:space="preserve">taux de vacance de référence DHUP </t>
    </r>
    <r>
      <rPr>
        <b/>
        <sz val="8"/>
        <rFont val="Arial"/>
        <family val="2"/>
      </rPr>
      <t>OSP attributions - occupation sociale des logements - procédures</t>
    </r>
  </si>
  <si>
    <r>
      <t xml:space="preserve">année 1 / recettes brutes,  </t>
    </r>
    <r>
      <rPr>
        <b/>
        <sz val="8"/>
        <rFont val="Arial"/>
        <family val="2"/>
      </rPr>
      <t>OSP attributions - occupation sociale - procédures</t>
    </r>
  </si>
  <si>
    <t>Recettes locatives générées par l'opération</t>
  </si>
  <si>
    <t>Autres sources de recettes annexes</t>
  </si>
  <si>
    <t>préciser : ANRU, …</t>
  </si>
  <si>
    <t>préciser :</t>
  </si>
  <si>
    <t>préciser : EDF,…</t>
  </si>
  <si>
    <t>de l'opération est financée par endettement de l'OHLM</t>
  </si>
  <si>
    <t>de l'opération est financée par subventions directes dont</t>
  </si>
  <si>
    <t>de FEDER</t>
  </si>
  <si>
    <t>Récapitulatif du plan de financement</t>
  </si>
  <si>
    <t>Endettement de l'OHLM</t>
  </si>
  <si>
    <t>dont FEDER</t>
  </si>
  <si>
    <r>
      <t xml:space="preserve">de l'opération est financée sur fonds propres de l'OHLM - </t>
    </r>
    <r>
      <rPr>
        <b/>
        <sz val="8"/>
        <rFont val="Arial"/>
        <family val="2"/>
      </rPr>
      <t>OSP fonds propres revolving SIEG</t>
    </r>
  </si>
  <si>
    <t>de l'opération est financée par subventions directes, dont FEDER</t>
  </si>
  <si>
    <t>de l'opération est financée par le FEDER</t>
  </si>
  <si>
    <r>
      <t xml:space="preserve">Fonds propres investis par l'OHLM - </t>
    </r>
    <r>
      <rPr>
        <b/>
        <sz val="8"/>
        <rFont val="Arial"/>
        <family val="2"/>
      </rPr>
      <t>OSP fonds propres revolving SIEG</t>
    </r>
  </si>
  <si>
    <r>
      <t>OSP</t>
    </r>
    <r>
      <rPr>
        <sz val="8"/>
        <color indexed="10"/>
        <rFont val="Arial"/>
        <family val="0"/>
      </rPr>
      <t xml:space="preserve"> Fonds propres</t>
    </r>
  </si>
  <si>
    <r>
      <t xml:space="preserve">Donnée de référence CGLLS - coût facturé - </t>
    </r>
    <r>
      <rPr>
        <b/>
        <sz val="8"/>
        <rFont val="Arial"/>
        <family val="2"/>
      </rPr>
      <t>OSP continuité financière du SIEG</t>
    </r>
  </si>
  <si>
    <t>coûts de référence hors toutes aides directes et indirectes - valeur actuelle</t>
  </si>
  <si>
    <r>
      <t xml:space="preserve">sur durée </t>
    </r>
    <r>
      <rPr>
        <sz val="8"/>
        <rFont val="Arial"/>
        <family val="2"/>
      </rPr>
      <t>d'utilisation</t>
    </r>
    <r>
      <rPr>
        <sz val="8"/>
        <rFont val="Arial"/>
        <family val="0"/>
      </rPr>
      <t xml:space="preserve"> - valeur actuelle - </t>
    </r>
    <r>
      <rPr>
        <b/>
        <sz val="8"/>
        <rFont val="Arial"/>
        <family val="2"/>
      </rPr>
      <t>dans le respect de la convention APL - OSP accessibilité tarifaire - loyer plafond</t>
    </r>
  </si>
  <si>
    <t>subventions + ESB (exo TFPB + gain d'annuités + garantie publique + taux réduits TVA + foncier public)</t>
  </si>
  <si>
    <t>si valeur positive : absence de surcompensation, marge d'aides complémentaires ou de recettes avant surcompensation</t>
  </si>
  <si>
    <r>
      <t>OSP</t>
    </r>
    <r>
      <rPr>
        <sz val="8"/>
        <color indexed="10"/>
        <rFont val="Arial"/>
        <family val="0"/>
      </rPr>
      <t xml:space="preserve"> - Fonds propres de l'OHLM</t>
    </r>
  </si>
  <si>
    <t>Conformément à l'article 106.2 du Traité, l'Union européenne ne peut interdire ce qui est nécessaire et proportionné à l'exécution d'un SIEG et à l'imposition d'obligations de service public</t>
  </si>
  <si>
    <t>intérêts / emprunt hors aides = investissement TTC taux normal (-) fonds propres,  taux de référence du marché - valeur actuelle</t>
  </si>
  <si>
    <t>Version USH du 31/05/2013</t>
  </si>
  <si>
    <t>année de dépôt du dossier FEDER ou de signature de la convention attributive de la subvention au titre du FEDER</t>
  </si>
  <si>
    <t>TMO 1er semestre 2010 (actualiser le taux / année de référence via le site web du Trésor)</t>
  </si>
  <si>
    <t>Taux moyen, donnée de référence DHUP (LOLA)</t>
  </si>
  <si>
    <t>Coûts d'investissement TTC au taux normal TVA - les fonds propres investis</t>
  </si>
  <si>
    <t>3- L'aide à l'opération de rénovation thermique de logements sociaux doit se limiter à couvrir les coûts liés aux investissements nécessaires, moins les recettes générées, plus un bénéfice raisonnable</t>
  </si>
  <si>
    <r>
      <t>sans plafonnement des coûts d'investissement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et compte tenu des OSP qui s'imposent à l'OHLM</t>
    </r>
    <r>
      <rPr>
        <i/>
        <sz val="8"/>
        <rFont val="Arial"/>
        <family val="2"/>
      </rPr>
      <t xml:space="preserve"> (voir la notice explicative de la notion de compensation de service public en feuillet 3)</t>
    </r>
  </si>
  <si>
    <t>2- La compensation ne peut exécéder ce qui est nécessaire à la bonne exécution de ces obligations de service public (OSP) qui sont imposées par l'Etat à l'OHLM, à savoir :</t>
  </si>
  <si>
    <t>Principes généraux de la compensation de service public applicable au SIEG de logement social</t>
  </si>
  <si>
    <t>Pièces justificatives disponibles auprès de l'OHLM (hors données déjà fournies dans le dossier FEDER)</t>
  </si>
  <si>
    <t>1- L'OHLM est chargé de la gestion du SIEG de logement social par plusieurs actes officiels de mandat qui le soumet à des obligations de service public (OSP)</t>
  </si>
  <si>
    <r>
      <t xml:space="preserve">. obligation de fournir une offre de logements à loyer modéré (construction, gestion, réhabilitation...) : </t>
    </r>
    <r>
      <rPr>
        <b/>
        <sz val="8"/>
        <rFont val="Arial"/>
        <family val="2"/>
      </rPr>
      <t>OSP d'offre de logements</t>
    </r>
  </si>
  <si>
    <r>
      <t xml:space="preserve">. obligation de fournir cette offre dans le respect de loyers plafonds fixés par l'Etat : </t>
    </r>
    <r>
      <rPr>
        <b/>
        <sz val="8"/>
        <rFont val="Arial"/>
        <family val="2"/>
      </rPr>
      <t>OSP tarifaire</t>
    </r>
  </si>
  <si>
    <r>
      <t xml:space="preserve">. obligation d'attribution de cette offre à des ménages sous plafonds de revenus dans le respect d'une procédure spéficique : </t>
    </r>
    <r>
      <rPr>
        <b/>
        <sz val="8"/>
        <rFont val="Arial"/>
        <family val="2"/>
      </rPr>
      <t>OSP attribution - occupation sociale</t>
    </r>
  </si>
  <si>
    <r>
      <t xml:space="preserve">. obligation de garantir une sécurité d'occupation de ces logements par des baux à durée indéterminée : </t>
    </r>
    <r>
      <rPr>
        <b/>
        <sz val="8"/>
        <rFont val="Arial"/>
        <family val="2"/>
      </rPr>
      <t>OSP sécurité d'occupation - continuité du service public</t>
    </r>
  </si>
  <si>
    <r>
      <t xml:space="preserve">. obligation de réinvestir les résultats éventuels d'exploitation dans le financement de l'offre de logements à loyer modéré (construction - réhabilitation) : </t>
    </r>
    <r>
      <rPr>
        <b/>
        <sz val="8"/>
        <rFont val="Arial"/>
        <family val="2"/>
      </rPr>
      <t>OSP fonds revolving SIEG</t>
    </r>
  </si>
  <si>
    <r>
      <t xml:space="preserve">. obligation de participer à des mécanismes de garantie mutuelle à des fins de continuité financière du service public (CGLLS) : </t>
    </r>
    <r>
      <rPr>
        <b/>
        <sz val="8"/>
        <rFont val="Arial"/>
        <family val="2"/>
      </rPr>
      <t>OSP continuité financière - mutualisation</t>
    </r>
  </si>
  <si>
    <r>
      <t>Mode d'emploi</t>
    </r>
    <r>
      <rPr>
        <b/>
        <sz val="8"/>
        <rFont val="Arial"/>
        <family val="2"/>
      </rPr>
      <t xml:space="preserve"> : pour l'OHLM chargée de la gestion du SIEG de logement social et bénéficiaire du FEDER</t>
    </r>
  </si>
  <si>
    <t>Données de l'opération d'investissement à renseigner obligatoirement par l'OHLM</t>
  </si>
  <si>
    <t>OHLM</t>
  </si>
  <si>
    <t>Subventions directes mobilisées par l'OHLM</t>
  </si>
  <si>
    <t>Résultats</t>
  </si>
  <si>
    <t>Recettes</t>
  </si>
  <si>
    <t>Coûts</t>
  </si>
  <si>
    <t>Compensation</t>
  </si>
  <si>
    <t>Absence de surcompensation</t>
  </si>
  <si>
    <t>Gain d'annuités des prêts réglementés / situation de référence de marché</t>
  </si>
  <si>
    <t>Gain annuités</t>
  </si>
  <si>
    <t>Coûts de référence</t>
  </si>
  <si>
    <t>Garantie de référence</t>
  </si>
  <si>
    <t>Intérêts de référence</t>
  </si>
  <si>
    <t>ESB TVA au taux réduit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</si>
</sst>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€_-;\-* #,##0.0\ _€_-;_-* &quot;-&quot;??\ _€_-;_-@_-"/>
    <numFmt numFmtId="171" formatCode="_-* #,##0\ _€_-;\-* #,##0\ _€_-;_-* &quot;-&quot;??\ _€_-;_-@_-"/>
    <numFmt numFmtId="172" formatCode="0.00000000"/>
    <numFmt numFmtId="173" formatCode="&quot;Vrai&quot;;&quot;Vrai&quot;;&quot;Faux&quot;"/>
    <numFmt numFmtId="174" formatCode="&quot;Actif&quot;;&quot;Actif&quot;;&quot;Inactif&quot;"/>
    <numFmt numFmtId="175" formatCode="_-* #,##0.000\ _€_-;\-* #,##0.000\ _€_-;_-* &quot;-&quot;??\ _€_-;_-@_-"/>
    <numFmt numFmtId="176" formatCode="_-* #,##0.0000\ _€_-;\-* #,##0.0000\ _€_-;_-* &quot;-&quot;??\ _€_-;_-@_-"/>
    <numFmt numFmtId="177" formatCode="_-* #,##0.00000\ _€_-;\-* #,##0.00000\ _€_-;_-* &quot;-&quot;??\ _€_-;_-@_-"/>
    <numFmt numFmtId="178" formatCode="_-* #,##0.000\ &quot;€&quot;_-;\-* #,##0.000\ &quot;€&quot;_-;_-* &quot;-&quot;??\ &quot;€&quot;_-;_-@_-"/>
    <numFmt numFmtId="179" formatCode="_-* #,##0.0000\ &quot;€&quot;_-;\-* #,##0.0000\ &quot;€&quot;_-;_-* &quot;-&quot;??\ &quot;€&quot;_-;_-@_-"/>
    <numFmt numFmtId="180" formatCode="0.000%"/>
    <numFmt numFmtId="181" formatCode="#,##0.00\ &quot;€&quot;"/>
    <numFmt numFmtId="182" formatCode="#,##0_ ;\-#,##0\ "/>
    <numFmt numFmtId="183" formatCode="#,##0.00_ ;\-#,##0.00\ "/>
    <numFmt numFmtId="184" formatCode="#,##0.00_ ;[Red]\-#,##0.00\ "/>
    <numFmt numFmtId="185" formatCode="[$-40C]dddd\ d\ mmmm\ yyyy"/>
    <numFmt numFmtId="186" formatCode="0.00_ ;\-0.00\ "/>
    <numFmt numFmtId="187" formatCode="0_ ;\-0\ "/>
    <numFmt numFmtId="188" formatCode="0.0"/>
    <numFmt numFmtId="189" formatCode="#,##0.00\ _€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u val="single"/>
      <sz val="8"/>
      <color indexed="4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u val="single"/>
      <sz val="8"/>
      <name val="Arial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183" fontId="1" fillId="0" borderId="0" xfId="44" applyNumberFormat="1" applyFont="1" applyFill="1" applyBorder="1" applyAlignment="1">
      <alignment/>
    </xf>
    <xf numFmtId="0" fontId="7" fillId="0" borderId="10" xfId="46" applyFont="1" applyBorder="1" applyAlignment="1" applyProtection="1">
      <alignment/>
      <protection/>
    </xf>
    <xf numFmtId="0" fontId="1" fillId="4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shrinkToFit="1"/>
    </xf>
    <xf numFmtId="49" fontId="3" fillId="0" borderId="0" xfId="0" applyNumberFormat="1" applyFont="1" applyFill="1" applyBorder="1" applyAlignment="1">
      <alignment shrinkToFit="1"/>
    </xf>
    <xf numFmtId="49" fontId="1" fillId="0" borderId="0" xfId="0" applyNumberFormat="1" applyFont="1" applyBorder="1" applyAlignment="1">
      <alignment readingOrder="1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3" fontId="3" fillId="0" borderId="0" xfId="44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1" fillId="4" borderId="0" xfId="0" applyFont="1" applyFill="1" applyBorder="1" applyAlignment="1">
      <alignment/>
    </xf>
    <xf numFmtId="10" fontId="1" fillId="4" borderId="0" xfId="53" applyNumberFormat="1" applyFont="1" applyFill="1" applyBorder="1" applyAlignment="1">
      <alignment/>
    </xf>
    <xf numFmtId="10" fontId="1" fillId="0" borderId="0" xfId="44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0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53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0" fillId="4" borderId="0" xfId="0" applyNumberFormat="1" applyFill="1" applyBorder="1" applyAlignment="1">
      <alignment/>
    </xf>
    <xf numFmtId="49" fontId="1" fillId="4" borderId="0" xfId="0" applyNumberFormat="1" applyFont="1" applyFill="1" applyAlignment="1">
      <alignment horizontal="right"/>
    </xf>
    <xf numFmtId="49" fontId="5" fillId="4" borderId="0" xfId="53" applyNumberFormat="1" applyFont="1" applyFill="1" applyBorder="1" applyAlignment="1">
      <alignment/>
    </xf>
    <xf numFmtId="49" fontId="4" fillId="4" borderId="0" xfId="0" applyNumberFormat="1" applyFont="1" applyFill="1" applyAlignment="1">
      <alignment/>
    </xf>
    <xf numFmtId="49" fontId="0" fillId="4" borderId="0" xfId="0" applyNumberFormat="1" applyFill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4" fontId="1" fillId="24" borderId="0" xfId="0" applyNumberFormat="1" applyFont="1" applyFill="1" applyBorder="1" applyAlignment="1">
      <alignment horizontal="center"/>
    </xf>
    <xf numFmtId="4" fontId="1" fillId="24" borderId="0" xfId="0" applyNumberFormat="1" applyFont="1" applyFill="1" applyBorder="1" applyAlignment="1">
      <alignment/>
    </xf>
    <xf numFmtId="183" fontId="1" fillId="24" borderId="0" xfId="44" applyNumberFormat="1" applyFont="1" applyFill="1" applyBorder="1" applyAlignment="1">
      <alignment/>
    </xf>
    <xf numFmtId="10" fontId="1" fillId="0" borderId="0" xfId="44" applyNumberFormat="1" applyFont="1" applyFill="1" applyBorder="1" applyAlignment="1">
      <alignment/>
    </xf>
    <xf numFmtId="4" fontId="1" fillId="0" borderId="0" xfId="53" applyNumberFormat="1" applyFont="1" applyFill="1" applyBorder="1" applyAlignment="1">
      <alignment/>
    </xf>
    <xf numFmtId="183" fontId="1" fillId="24" borderId="0" xfId="44" applyNumberFormat="1" applyFont="1" applyFill="1" applyBorder="1" applyAlignment="1">
      <alignment/>
    </xf>
    <xf numFmtId="10" fontId="1" fillId="24" borderId="0" xfId="44" applyNumberFormat="1" applyFont="1" applyFill="1" applyBorder="1" applyAlignment="1">
      <alignment/>
    </xf>
    <xf numFmtId="49" fontId="6" fillId="0" borderId="0" xfId="46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49" fontId="5" fillId="0" borderId="0" xfId="53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" fontId="3" fillId="0" borderId="0" xfId="44" applyNumberFormat="1" applyFont="1" applyFill="1" applyBorder="1" applyAlignment="1">
      <alignment/>
    </xf>
    <xf numFmtId="2" fontId="1" fillId="4" borderId="0" xfId="0" applyNumberFormat="1" applyFont="1" applyFill="1" applyAlignment="1">
      <alignment horizontal="right"/>
    </xf>
    <xf numFmtId="49" fontId="1" fillId="4" borderId="0" xfId="0" applyNumberFormat="1" applyFont="1" applyFill="1" applyBorder="1" applyAlignment="1">
      <alignment/>
    </xf>
    <xf numFmtId="49" fontId="4" fillId="4" borderId="0" xfId="0" applyNumberFormat="1" applyFont="1" applyFill="1" applyAlignment="1">
      <alignment/>
    </xf>
    <xf numFmtId="49" fontId="1" fillId="4" borderId="0" xfId="46" applyNumberFormat="1" applyFont="1" applyFill="1" applyBorder="1" applyAlignment="1" applyProtection="1">
      <alignment/>
      <protection/>
    </xf>
    <xf numFmtId="49" fontId="1" fillId="4" borderId="0" xfId="53" applyNumberFormat="1" applyFont="1" applyFill="1" applyBorder="1" applyAlignment="1">
      <alignment/>
    </xf>
    <xf numFmtId="4" fontId="3" fillId="0" borderId="0" xfId="44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2" fontId="5" fillId="0" borderId="0" xfId="53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4" borderId="0" xfId="0" applyNumberFormat="1" applyFont="1" applyFill="1" applyBorder="1" applyAlignment="1">
      <alignment/>
    </xf>
    <xf numFmtId="2" fontId="4" fillId="4" borderId="0" xfId="0" applyNumberFormat="1" applyFont="1" applyFill="1" applyAlignment="1">
      <alignment/>
    </xf>
    <xf numFmtId="2" fontId="1" fillId="4" borderId="0" xfId="0" applyNumberFormat="1" applyFont="1" applyFill="1" applyAlignment="1">
      <alignment/>
    </xf>
    <xf numFmtId="49" fontId="1" fillId="4" borderId="0" xfId="0" applyNumberFormat="1" applyFont="1" applyFill="1" applyAlignment="1">
      <alignment/>
    </xf>
    <xf numFmtId="2" fontId="1" fillId="4" borderId="0" xfId="46" applyNumberFormat="1" applyFont="1" applyFill="1" applyBorder="1" applyAlignment="1" applyProtection="1">
      <alignment/>
      <protection/>
    </xf>
    <xf numFmtId="2" fontId="1" fillId="4" borderId="0" xfId="53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183" fontId="3" fillId="24" borderId="0" xfId="44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49" fontId="1" fillId="4" borderId="0" xfId="46" applyNumberFormat="1" applyFont="1" applyFill="1" applyBorder="1" applyAlignment="1" applyProtection="1">
      <alignment/>
      <protection/>
    </xf>
    <xf numFmtId="49" fontId="0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5" fillId="4" borderId="0" xfId="0" applyFont="1" applyFill="1" applyAlignment="1">
      <alignment horizontal="right"/>
    </xf>
    <xf numFmtId="10" fontId="5" fillId="4" borderId="0" xfId="53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10" fontId="3" fillId="0" borderId="0" xfId="44" applyNumberFormat="1" applyFont="1" applyFill="1" applyBorder="1" applyAlignment="1">
      <alignment horizontal="center"/>
    </xf>
    <xf numFmtId="2" fontId="3" fillId="0" borderId="0" xfId="46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right"/>
    </xf>
    <xf numFmtId="4" fontId="1" fillId="0" borderId="14" xfId="44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6" xfId="44" applyNumberFormat="1" applyFont="1" applyFill="1" applyBorder="1" applyAlignment="1">
      <alignment/>
    </xf>
    <xf numFmtId="4" fontId="3" fillId="0" borderId="16" xfId="44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83" fontId="1" fillId="0" borderId="15" xfId="0" applyNumberFormat="1" applyFont="1" applyBorder="1" applyAlignment="1">
      <alignment horizontal="right"/>
    </xf>
    <xf numFmtId="49" fontId="6" fillId="25" borderId="0" xfId="46" applyNumberFormat="1" applyFont="1" applyFill="1" applyBorder="1" applyAlignment="1" applyProtection="1">
      <alignment/>
      <protection/>
    </xf>
    <xf numFmtId="49" fontId="0" fillId="25" borderId="0" xfId="0" applyNumberFormat="1" applyFill="1" applyBorder="1" applyAlignment="1">
      <alignment/>
    </xf>
    <xf numFmtId="49" fontId="1" fillId="25" borderId="0" xfId="0" applyNumberFormat="1" applyFont="1" applyFill="1" applyAlignment="1">
      <alignment horizontal="right"/>
    </xf>
    <xf numFmtId="49" fontId="5" fillId="25" borderId="0" xfId="53" applyNumberFormat="1" applyFont="1" applyFill="1" applyBorder="1" applyAlignment="1">
      <alignment/>
    </xf>
    <xf numFmtId="49" fontId="4" fillId="25" borderId="0" xfId="0" applyNumberFormat="1" applyFont="1" applyFill="1" applyAlignment="1">
      <alignment/>
    </xf>
    <xf numFmtId="49" fontId="0" fillId="25" borderId="0" xfId="0" applyNumberFormat="1" applyFill="1" applyAlignment="1">
      <alignment/>
    </xf>
    <xf numFmtId="0" fontId="1" fillId="20" borderId="0" xfId="0" applyFont="1" applyFill="1" applyAlignment="1">
      <alignment horizontal="left"/>
    </xf>
    <xf numFmtId="0" fontId="0" fillId="20" borderId="0" xfId="0" applyFill="1" applyAlignment="1">
      <alignment horizontal="center"/>
    </xf>
    <xf numFmtId="4" fontId="3" fillId="20" borderId="16" xfId="44" applyNumberFormat="1" applyFont="1" applyFill="1" applyBorder="1" applyAlignment="1">
      <alignment/>
    </xf>
    <xf numFmtId="4" fontId="3" fillId="20" borderId="15" xfId="0" applyNumberFormat="1" applyFont="1" applyFill="1" applyBorder="1" applyAlignment="1">
      <alignment horizontal="right"/>
    </xf>
    <xf numFmtId="0" fontId="3" fillId="20" borderId="0" xfId="0" applyFont="1" applyFill="1" applyAlignment="1">
      <alignment horizontal="left"/>
    </xf>
    <xf numFmtId="0" fontId="1" fillId="20" borderId="15" xfId="0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/>
    </xf>
    <xf numFmtId="4" fontId="3" fillId="0" borderId="17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15" xfId="0" applyFont="1" applyFill="1" applyBorder="1" applyAlignment="1">
      <alignment horizontal="right"/>
    </xf>
    <xf numFmtId="183" fontId="3" fillId="0" borderId="15" xfId="0" applyNumberFormat="1" applyFont="1" applyFill="1" applyBorder="1" applyAlignment="1">
      <alignment horizontal="right"/>
    </xf>
    <xf numFmtId="0" fontId="2" fillId="20" borderId="0" xfId="0" applyFont="1" applyFill="1" applyAlignment="1">
      <alignment horizontal="center"/>
    </xf>
    <xf numFmtId="10" fontId="1" fillId="20" borderId="16" xfId="44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2" fontId="3" fillId="0" borderId="0" xfId="0" applyNumberFormat="1" applyFont="1" applyFill="1" applyAlignment="1">
      <alignment horizontal="right"/>
    </xf>
    <xf numFmtId="2" fontId="3" fillId="0" borderId="0" xfId="53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" fillId="0" borderId="21" xfId="44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 horizontal="center"/>
    </xf>
    <xf numFmtId="10" fontId="3" fillId="0" borderId="17" xfId="44" applyNumberFormat="1" applyFont="1" applyFill="1" applyBorder="1" applyAlignment="1">
      <alignment/>
    </xf>
    <xf numFmtId="0" fontId="1" fillId="0" borderId="0" xfId="0" applyFont="1" applyAlignment="1">
      <alignment/>
    </xf>
    <xf numFmtId="49" fontId="1" fillId="0" borderId="0" xfId="46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2" fontId="2" fillId="0" borderId="0" xfId="0" applyNumberFormat="1" applyFont="1" applyBorder="1" applyAlignment="1">
      <alignment/>
    </xf>
    <xf numFmtId="0" fontId="10" fillId="0" borderId="0" xfId="46" applyFont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/>
    </xf>
    <xf numFmtId="49" fontId="3" fillId="0" borderId="0" xfId="46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53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Fill="1" applyBorder="1" applyAlignment="1">
      <alignment wrapText="1"/>
    </xf>
    <xf numFmtId="4" fontId="3" fillId="4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4" fontId="3" fillId="4" borderId="19" xfId="0" applyNumberFormat="1" applyFont="1" applyFill="1" applyBorder="1" applyAlignment="1">
      <alignment/>
    </xf>
    <xf numFmtId="0" fontId="0" fillId="0" borderId="22" xfId="0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7" fillId="0" borderId="11" xfId="46" applyFont="1" applyBorder="1" applyAlignment="1" applyProtection="1">
      <alignment/>
      <protection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10" fontId="9" fillId="0" borderId="16" xfId="44" applyNumberFormat="1" applyFont="1" applyFill="1" applyBorder="1" applyAlignment="1">
      <alignment horizontal="left"/>
    </xf>
    <xf numFmtId="10" fontId="4" fillId="0" borderId="16" xfId="44" applyNumberFormat="1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1" fillId="0" borderId="30" xfId="0" applyFont="1" applyBorder="1" applyAlignment="1">
      <alignment horizontal="right"/>
    </xf>
    <xf numFmtId="183" fontId="1" fillId="24" borderId="33" xfId="44" applyNumberFormat="1" applyFont="1" applyFill="1" applyBorder="1" applyAlignment="1">
      <alignment/>
    </xf>
    <xf numFmtId="183" fontId="1" fillId="24" borderId="34" xfId="44" applyNumberFormat="1" applyFont="1" applyFill="1" applyBorder="1" applyAlignment="1">
      <alignment/>
    </xf>
    <xf numFmtId="0" fontId="1" fillId="0" borderId="12" xfId="0" applyFont="1" applyBorder="1" applyAlignment="1">
      <alignment horizontal="right"/>
    </xf>
    <xf numFmtId="183" fontId="1" fillId="24" borderId="35" xfId="44" applyNumberFormat="1" applyFont="1" applyFill="1" applyBorder="1" applyAlignment="1">
      <alignment/>
    </xf>
    <xf numFmtId="0" fontId="1" fillId="0" borderId="32" xfId="0" applyFont="1" applyBorder="1" applyAlignment="1">
      <alignment horizontal="right"/>
    </xf>
    <xf numFmtId="183" fontId="3" fillId="0" borderId="36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0" fontId="5" fillId="0" borderId="0" xfId="53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32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184" fontId="0" fillId="0" borderId="0" xfId="0" applyNumberFormat="1" applyAlignment="1">
      <alignment/>
    </xf>
    <xf numFmtId="4" fontId="3" fillId="0" borderId="18" xfId="44" applyNumberFormat="1" applyFont="1" applyFill="1" applyBorder="1" applyAlignment="1">
      <alignment/>
    </xf>
    <xf numFmtId="0" fontId="1" fillId="20" borderId="25" xfId="0" applyFont="1" applyFill="1" applyBorder="1" applyAlignment="1">
      <alignment horizontal="right"/>
    </xf>
    <xf numFmtId="4" fontId="3" fillId="20" borderId="38" xfId="44" applyNumberFormat="1" applyFont="1" applyFill="1" applyBorder="1" applyAlignment="1">
      <alignment/>
    </xf>
    <xf numFmtId="10" fontId="1" fillId="0" borderId="0" xfId="53" applyNumberFormat="1" applyFont="1" applyFill="1" applyBorder="1" applyAlignment="1">
      <alignment/>
    </xf>
    <xf numFmtId="1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4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9" fontId="1" fillId="0" borderId="0" xfId="53" applyFont="1" applyAlignment="1">
      <alignment/>
    </xf>
    <xf numFmtId="9" fontId="3" fillId="0" borderId="0" xfId="53" applyFont="1" applyAlignment="1">
      <alignment/>
    </xf>
    <xf numFmtId="4" fontId="1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9" fontId="2" fillId="0" borderId="0" xfId="53" applyFont="1" applyAlignment="1">
      <alignment/>
    </xf>
    <xf numFmtId="0" fontId="30" fillId="4" borderId="0" xfId="0" applyFont="1" applyFill="1" applyAlignment="1">
      <alignment/>
    </xf>
    <xf numFmtId="0" fontId="31" fillId="4" borderId="0" xfId="0" applyFont="1" applyFill="1" applyAlignment="1">
      <alignment/>
    </xf>
    <xf numFmtId="0" fontId="1" fillId="4" borderId="0" xfId="46" applyFont="1" applyFill="1" applyBorder="1" applyAlignment="1" applyProtection="1">
      <alignment/>
      <protection/>
    </xf>
    <xf numFmtId="10" fontId="3" fillId="0" borderId="1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10" fontId="1" fillId="0" borderId="11" xfId="44" applyNumberFormat="1" applyFont="1" applyFill="1" applyBorder="1" applyAlignment="1">
      <alignment/>
    </xf>
    <xf numFmtId="49" fontId="7" fillId="0" borderId="11" xfId="46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49" fontId="5" fillId="0" borderId="11" xfId="53" applyNumberFormat="1" applyFont="1" applyFill="1" applyBorder="1" applyAlignment="1">
      <alignment/>
    </xf>
    <xf numFmtId="0" fontId="10" fillId="0" borderId="0" xfId="46" applyFont="1" applyBorder="1" applyAlignment="1" applyProtection="1">
      <alignment horizontal="left"/>
      <protection/>
    </xf>
    <xf numFmtId="0" fontId="10" fillId="0" borderId="0" xfId="46" applyFont="1" applyAlignment="1" applyProtection="1">
      <alignment horizontal="left"/>
      <protection/>
    </xf>
    <xf numFmtId="4" fontId="3" fillId="0" borderId="2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1" fillId="4" borderId="17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46" applyFont="1" applyBorder="1" applyAlignment="1">
      <alignment horizontal="left"/>
    </xf>
    <xf numFmtId="0" fontId="7" fillId="26" borderId="0" xfId="46" applyFont="1" applyFill="1" applyBorder="1" applyAlignment="1" applyProtection="1">
      <alignment horizontal="center"/>
      <protection/>
    </xf>
    <xf numFmtId="0" fontId="7" fillId="26" borderId="10" xfId="46" applyFont="1" applyFill="1" applyBorder="1" applyAlignment="1" applyProtection="1">
      <alignment horizontal="center"/>
      <protection/>
    </xf>
    <xf numFmtId="0" fontId="7" fillId="26" borderId="0" xfId="46" applyFont="1" applyFill="1" applyBorder="1" applyAlignment="1" applyProtection="1">
      <alignment horizontal="center"/>
      <protection/>
    </xf>
    <xf numFmtId="0" fontId="7" fillId="26" borderId="10" xfId="46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11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3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25" borderId="0" xfId="0" applyFont="1" applyFill="1" applyAlignment="1">
      <alignment/>
    </xf>
    <xf numFmtId="0" fontId="32" fillId="4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0" fontId="7" fillId="25" borderId="0" xfId="46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2" fontId="1" fillId="4" borderId="0" xfId="0" applyNumberFormat="1" applyFont="1" applyFill="1" applyAlignment="1">
      <alignment horizontal="center" vertical="center" wrapText="1"/>
    </xf>
    <xf numFmtId="9" fontId="1" fillId="0" borderId="0" xfId="53" applyFont="1" applyAlignment="1">
      <alignment/>
    </xf>
    <xf numFmtId="0" fontId="7" fillId="11" borderId="0" xfId="46" applyFont="1" applyFill="1" applyBorder="1" applyAlignment="1">
      <alignment horizontal="center"/>
    </xf>
    <xf numFmtId="0" fontId="7" fillId="11" borderId="0" xfId="46" applyFont="1" applyFill="1" applyAlignment="1">
      <alignment horizontal="center"/>
    </xf>
    <xf numFmtId="49" fontId="7" fillId="11" borderId="0" xfId="46" applyNumberFormat="1" applyFont="1" applyFill="1" applyAlignment="1">
      <alignment horizontal="center"/>
    </xf>
    <xf numFmtId="0" fontId="7" fillId="0" borderId="0" xfId="46" applyFont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10" fillId="0" borderId="0" xfId="46" applyFont="1" applyBorder="1" applyAlignment="1" applyProtection="1">
      <alignment horizontal="left"/>
      <protection/>
    </xf>
    <xf numFmtId="4" fontId="1" fillId="0" borderId="22" xfId="0" applyNumberFormat="1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0" fontId="1" fillId="24" borderId="0" xfId="0" applyFont="1" applyFill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4" borderId="24" xfId="0" applyNumberFormat="1" applyFont="1" applyFill="1" applyBorder="1" applyAlignment="1">
      <alignment/>
    </xf>
    <xf numFmtId="4" fontId="1" fillId="4" borderId="23" xfId="0" applyNumberFormat="1" applyFont="1" applyFill="1" applyBorder="1" applyAlignment="1">
      <alignment/>
    </xf>
    <xf numFmtId="4" fontId="1" fillId="4" borderId="19" xfId="0" applyNumberFormat="1" applyFont="1" applyFill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3" fillId="0" borderId="18" xfId="0" applyFont="1" applyFill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4" fontId="1" fillId="0" borderId="15" xfId="0" applyNumberFormat="1" applyFont="1" applyBorder="1" applyAlignment="1">
      <alignment/>
    </xf>
    <xf numFmtId="4" fontId="3" fillId="4" borderId="2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4" fontId="3" fillId="0" borderId="2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10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/>
    </xf>
    <xf numFmtId="4" fontId="1" fillId="24" borderId="0" xfId="0" applyNumberFormat="1" applyFont="1" applyFill="1" applyAlignment="1">
      <alignment/>
    </xf>
    <xf numFmtId="183" fontId="1" fillId="0" borderId="0" xfId="44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10" fontId="1" fillId="4" borderId="0" xfId="0" applyNumberFormat="1" applyFont="1" applyFill="1" applyAlignment="1">
      <alignment horizontal="center"/>
    </xf>
    <xf numFmtId="4" fontId="1" fillId="0" borderId="0" xfId="44" applyNumberFormat="1" applyFont="1" applyFill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39" xfId="0" applyFont="1" applyBorder="1" applyAlignment="1">
      <alignment horizontal="center" wrapText="1"/>
    </xf>
    <xf numFmtId="10" fontId="1" fillId="4" borderId="17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/>
    </xf>
    <xf numFmtId="4" fontId="1" fillId="0" borderId="37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49" fontId="7" fillId="4" borderId="0" xfId="46" applyNumberFormat="1" applyFont="1" applyFill="1" applyAlignment="1">
      <alignment horizontal="center"/>
    </xf>
    <xf numFmtId="0" fontId="7" fillId="4" borderId="0" xfId="46" applyFont="1" applyFill="1" applyAlignment="1">
      <alignment horizontal="center"/>
    </xf>
    <xf numFmtId="0" fontId="1" fillId="0" borderId="1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1" fillId="11" borderId="0" xfId="0" applyNumberFormat="1" applyFont="1" applyFill="1" applyAlignment="1">
      <alignment horizontal="center"/>
    </xf>
    <xf numFmtId="0" fontId="7" fillId="4" borderId="0" xfId="46" applyFont="1" applyFill="1" applyBorder="1" applyAlignment="1">
      <alignment horizontal="center"/>
    </xf>
    <xf numFmtId="10" fontId="4" fillId="0" borderId="16" xfId="44" applyNumberFormat="1" applyFont="1" applyFill="1" applyBorder="1" applyAlignment="1">
      <alignment horizontal="center"/>
    </xf>
    <xf numFmtId="10" fontId="4" fillId="0" borderId="16" xfId="53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9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183" fontId="3" fillId="24" borderId="41" xfId="44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5" fillId="0" borderId="11" xfId="0" applyFont="1" applyBorder="1" applyAlignment="1">
      <alignment horizontal="right"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0" fontId="3" fillId="0" borderId="24" xfId="0" applyFont="1" applyBorder="1" applyAlignment="1">
      <alignment horizontal="center"/>
    </xf>
    <xf numFmtId="10" fontId="1" fillId="0" borderId="0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3" fillId="0" borderId="25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" fontId="1" fillId="0" borderId="22" xfId="0" applyNumberFormat="1" applyFont="1" applyBorder="1" applyAlignment="1">
      <alignment/>
    </xf>
    <xf numFmtId="0" fontId="7" fillId="4" borderId="0" xfId="46" applyFont="1" applyFill="1" applyBorder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13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readingOrder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4" borderId="0" xfId="0" applyFont="1" applyFill="1" applyAlignment="1">
      <alignment horizontal="left"/>
    </xf>
    <xf numFmtId="10" fontId="1" fillId="4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0" fontId="3" fillId="0" borderId="41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32" fillId="0" borderId="32" xfId="0" applyFont="1" applyBorder="1" applyAlignment="1">
      <alignment horizontal="right"/>
    </xf>
    <xf numFmtId="0" fontId="1" fillId="4" borderId="0" xfId="0" applyFont="1" applyFill="1" applyAlignment="1">
      <alignment horizontal="left"/>
    </xf>
    <xf numFmtId="10" fontId="5" fillId="4" borderId="0" xfId="53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10" fontId="1" fillId="24" borderId="0" xfId="0" applyNumberFormat="1" applyFont="1" applyFill="1" applyAlignment="1">
      <alignment horizontal="center"/>
    </xf>
    <xf numFmtId="0" fontId="3" fillId="0" borderId="11" xfId="0" applyFont="1" applyBorder="1" applyAlignment="1">
      <alignment/>
    </xf>
    <xf numFmtId="1" fontId="1" fillId="0" borderId="0" xfId="0" applyNumberFormat="1" applyFont="1" applyFill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1" fillId="4" borderId="0" xfId="0" applyNumberFormat="1" applyFont="1" applyFill="1" applyBorder="1" applyAlignment="1">
      <alignment wrapText="1"/>
    </xf>
    <xf numFmtId="4" fontId="3" fillId="4" borderId="0" xfId="0" applyNumberFormat="1" applyFont="1" applyFill="1" applyAlignment="1">
      <alignment wrapText="1"/>
    </xf>
    <xf numFmtId="4" fontId="3" fillId="4" borderId="0" xfId="0" applyNumberFormat="1" applyFont="1" applyFill="1" applyBorder="1" applyAlignment="1">
      <alignment wrapText="1"/>
    </xf>
    <xf numFmtId="4" fontId="3" fillId="4" borderId="0" xfId="0" applyNumberFormat="1" applyFont="1" applyFill="1" applyBorder="1" applyAlignment="1">
      <alignment/>
    </xf>
    <xf numFmtId="0" fontId="4" fillId="4" borderId="11" xfId="0" applyFont="1" applyFill="1" applyBorder="1" applyAlignment="1">
      <alignment horizontal="right"/>
    </xf>
    <xf numFmtId="0" fontId="35" fillId="4" borderId="11" xfId="0" applyFont="1" applyFill="1" applyBorder="1" applyAlignment="1">
      <alignment horizontal="right"/>
    </xf>
    <xf numFmtId="4" fontId="1" fillId="4" borderId="0" xfId="0" applyNumberFormat="1" applyFont="1" applyFill="1" applyBorder="1" applyAlignment="1">
      <alignment/>
    </xf>
    <xf numFmtId="4" fontId="3" fillId="4" borderId="0" xfId="0" applyNumberFormat="1" applyFont="1" applyFill="1" applyAlignment="1">
      <alignment/>
    </xf>
    <xf numFmtId="4" fontId="1" fillId="4" borderId="0" xfId="0" applyNumberFormat="1" applyFont="1" applyFill="1" applyAlignment="1">
      <alignment wrapText="1"/>
    </xf>
    <xf numFmtId="0" fontId="0" fillId="4" borderId="0" xfId="0" applyFill="1" applyAlignment="1">
      <alignment/>
    </xf>
    <xf numFmtId="4" fontId="4" fillId="4" borderId="0" xfId="0" applyNumberFormat="1" applyFont="1" applyFill="1" applyBorder="1" applyAlignment="1">
      <alignment/>
    </xf>
    <xf numFmtId="4" fontId="9" fillId="4" borderId="0" xfId="0" applyNumberFormat="1" applyFont="1" applyFill="1" applyBorder="1" applyAlignment="1">
      <alignment horizontal="right"/>
    </xf>
    <xf numFmtId="4" fontId="9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4" fontId="4" fillId="4" borderId="0" xfId="0" applyNumberFormat="1" applyFont="1" applyFill="1" applyAlignment="1">
      <alignment/>
    </xf>
    <xf numFmtId="4" fontId="3" fillId="0" borderId="17" xfId="0" applyNumberFormat="1" applyFont="1" applyBorder="1" applyAlignment="1">
      <alignment horizontal="center" wrapText="1"/>
    </xf>
    <xf numFmtId="0" fontId="4" fillId="4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4" fontId="3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4" fontId="3" fillId="0" borderId="22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1" fillId="0" borderId="19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@union-habitat.org?subject=Question%20test%20d'absence%20de%20surcompensation%20convention%20FEDER%20OHLM" TargetMode="External" /><Relationship Id="rId2" Type="http://schemas.openxmlformats.org/officeDocument/2006/relationships/hyperlink" Target="mailto:ue@union-habitat.org?subject=Question%20test%20d'absence%20de%20surcompensation%20convention%20FEDER%20OHLM" TargetMode="External" /><Relationship Id="rId3" Type="http://schemas.openxmlformats.org/officeDocument/2006/relationships/hyperlink" Target="http://www.tresor.economie.gouv.fr/4164_taux-moyen-de-rendement-des-obligations-des-societes-privees" TargetMode="External" /><Relationship Id="rId4" Type="http://schemas.openxmlformats.org/officeDocument/2006/relationships/hyperlink" Target="http://eur-lex.europa.eu/LexUriServ/LexUriServ.do?uri=OJ:L:2012:007:0003:0010:FR:PDF" TargetMode="External" /><Relationship Id="rId5" Type="http://schemas.openxmlformats.org/officeDocument/2006/relationships/hyperlink" Target="http://eur-lex.europa.eu/LexUriServ/LexUriServ.do?uri=OJ:C:2012:326:0047:0390:FR:HTML" TargetMode="External" /><Relationship Id="rId6" Type="http://schemas.openxmlformats.org/officeDocument/2006/relationships/hyperlink" Target="mailto:ue@union-habitat.org?subject=Question%20test%20d'absence%20de%20surcompensation%20convention%20FEDER%20OHLM" TargetMode="External" /><Relationship Id="rId7" Type="http://schemas.openxmlformats.org/officeDocument/2006/relationships/hyperlink" Target="mailto:ue@union-habitat.org?subject=Question%20test%20d'absence%20de%20surcompensation%20convention%20FEDER%20OHLM" TargetMode="External" /><Relationship Id="rId8" Type="http://schemas.openxmlformats.org/officeDocument/2006/relationships/hyperlink" Target="mailto:ue@union-habitat.org?subject=Question%20test%20d'absence%20de%20surcompensation%20convention%20FEDER%20OHLM" TargetMode="External" /><Relationship Id="rId9" Type="http://schemas.openxmlformats.org/officeDocument/2006/relationships/hyperlink" Target="mailto:ue@union-habitat.org?subject=Question%20test%20d'absence%20de%20surcompensation%20convention%20FEDER%20OHLM" TargetMode="External" /><Relationship Id="rId10" Type="http://schemas.openxmlformats.org/officeDocument/2006/relationships/hyperlink" Target="mailto:ue@union-habitat.org?subject=Question%20test%20d'absence%20de%20surcompensation%20convention%20FEDER%20OHLM" TargetMode="External" /><Relationship Id="rId11" Type="http://schemas.openxmlformats.org/officeDocument/2006/relationships/hyperlink" Target="http://www.legifrance.gouv.fr/affichCode.do?cidTexte=LEGITEXT000006074096" TargetMode="External" /><Relationship Id="rId12" Type="http://schemas.openxmlformats.org/officeDocument/2006/relationships/hyperlink" Target="http://www.legifrance.gouv.fr/affichCode.do;jsessionid=872A9FEFE1E1081F1322A81E25487843.tpdjo12v_1?idSectionTA=LEGISCTA000021393713&amp;cidTexte=LEGITEXT000006074096&amp;dateTexte=20130504#LEGIARTI000021393710" TargetMode="External" /><Relationship Id="rId13" Type="http://schemas.openxmlformats.org/officeDocument/2006/relationships/hyperlink" Target="http://www.legifrance.gouv.fr/affichCode.do;jsessionid=872A9FEFE1E1081F1322A81E25487843.tpdjo12v_1?idSectionTA=LEGISCTA000006177812&amp;cidTexte=LEGITEXT000006074096&amp;dateTexte=20130504#LEGIARTI000006899037" TargetMode="External" /><Relationship Id="rId14" Type="http://schemas.openxmlformats.org/officeDocument/2006/relationships/hyperlink" Target="http://www.legifrance.gouv.fr/affichCode.do?idArticle=LEGIARTI000006825180&amp;idSectionTA=LEGISCTA000006159063&amp;cidTexte=LEGITEXT000006074096&amp;dateTexte=20130504#LEGIARTI000006825180" TargetMode="External" /><Relationship Id="rId15" Type="http://schemas.openxmlformats.org/officeDocument/2006/relationships/hyperlink" Target="http://www.union-habitat.eu/IMG/doc/Note_justificative_du_mandat_SIEG-2.doc" TargetMode="External" /><Relationship Id="rId16" Type="http://schemas.openxmlformats.org/officeDocument/2006/relationships/hyperlink" Target="http://www.union-habitat.eu/IMG/pdf/lola_note_tech_28_dec_2011.pdf" TargetMode="External" /><Relationship Id="rId17" Type="http://schemas.openxmlformats.org/officeDocument/2006/relationships/hyperlink" Target="http://www.union-habitat.eu/IMG/pdf/lola_note_tech_28_dec_2011.pdf" TargetMode="External" /><Relationship Id="rId18" Type="http://schemas.openxmlformats.org/officeDocument/2006/relationships/hyperlink" Target="http://www.union-habitat.eu/IMG/pdf/lola_note_tech_28_dec_2011.pdf" TargetMode="External" /><Relationship Id="rId19" Type="http://schemas.openxmlformats.org/officeDocument/2006/relationships/hyperlink" Target="http://www.union-habitat.eu/IMG/pdf/lola_note_tech_28_dec_2011.pdf" TargetMode="External" /><Relationship Id="rId20" Type="http://schemas.openxmlformats.org/officeDocument/2006/relationships/hyperlink" Target="http://www.union-habitat.eu/IMG/pdf/lola_note_tech_28_dec_2011.pdf" TargetMode="External" /><Relationship Id="rId21" Type="http://schemas.openxmlformats.org/officeDocument/2006/relationships/hyperlink" Target="http://www.union-habitat.eu/IMG/pdf/lola_note_tech_28_dec_2011.pdf" TargetMode="External" /><Relationship Id="rId22" Type="http://schemas.openxmlformats.org/officeDocument/2006/relationships/hyperlink" Target="http://www.union-habitat.eu/IMG/pdf/lola_note_tech_28_dec_2011.pdf" TargetMode="External" /><Relationship Id="rId23" Type="http://schemas.openxmlformats.org/officeDocument/2006/relationships/hyperlink" Target="http://www.union-habitat.eu/IMG/pdf/lola_note_tech_28_dec_2011.pdf" TargetMode="External" /><Relationship Id="rId24" Type="http://schemas.openxmlformats.org/officeDocument/2006/relationships/hyperlink" Target="http://www.union-habitat.eu/IMG/pdf/final_28_novembre_2005.pdf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e@union-habitat.org?subject=Question%20test%20d'absence%20de%20surcompensation%20convention%20FEDER%20OHLM" TargetMode="External" /><Relationship Id="rId2" Type="http://schemas.openxmlformats.org/officeDocument/2006/relationships/hyperlink" Target="mailto:ue@union-habitat.org?subject=Question%20test%20d'absence%20de%20surcompensation%20convention%20FEDER%20OHL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12:007:0003:0010:FR:PDF" TargetMode="External" /><Relationship Id="rId2" Type="http://schemas.openxmlformats.org/officeDocument/2006/relationships/hyperlink" Target="http://union-habitat.eu/?rubrique230" TargetMode="External" /><Relationship Id="rId3" Type="http://schemas.openxmlformats.org/officeDocument/2006/relationships/hyperlink" Target="mailto:ue@union-habitat.org?subject=Question%20test%20d'absence%20de%20surcompensation%20convention%20FEDER%20OHL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PageLayoutView="0" workbookViewId="0" topLeftCell="A1">
      <selection activeCell="L159" sqref="L159"/>
    </sheetView>
  </sheetViews>
  <sheetFormatPr defaultColWidth="11.421875" defaultRowHeight="12.75"/>
  <cols>
    <col min="1" max="1" width="16.57421875" style="0" customWidth="1"/>
    <col min="2" max="2" width="12.7109375" style="0" customWidth="1"/>
    <col min="3" max="3" width="12.421875" style="0" customWidth="1"/>
    <col min="4" max="4" width="13.8515625" style="0" bestFit="1" customWidth="1"/>
    <col min="5" max="5" width="13.00390625" style="0" customWidth="1"/>
    <col min="6" max="6" width="12.7109375" style="0" customWidth="1"/>
    <col min="7" max="7" width="12.421875" style="0" bestFit="1" customWidth="1"/>
    <col min="8" max="8" width="12.421875" style="0" customWidth="1"/>
    <col min="9" max="9" width="11.7109375" style="0" bestFit="1" customWidth="1"/>
    <col min="10" max="10" width="13.140625" style="0" bestFit="1" customWidth="1"/>
    <col min="11" max="11" width="13.00390625" style="0" bestFit="1" customWidth="1"/>
    <col min="12" max="12" width="11.7109375" style="0" bestFit="1" customWidth="1"/>
  </cols>
  <sheetData>
    <row r="1" s="1" customFormat="1" ht="10.5" thickBot="1">
      <c r="A1" s="1" t="s">
        <v>394</v>
      </c>
    </row>
    <row r="2" spans="1:11" ht="12.75">
      <c r="A2" s="397" t="s">
        <v>283</v>
      </c>
      <c r="B2" s="398"/>
      <c r="C2" s="398"/>
      <c r="D2" s="398"/>
      <c r="E2" s="398"/>
      <c r="F2" s="398"/>
      <c r="G2" s="398"/>
      <c r="H2" s="399"/>
      <c r="I2" s="399"/>
      <c r="J2" s="399"/>
      <c r="K2" s="400"/>
    </row>
    <row r="3" spans="1:11" ht="12.75">
      <c r="A3" s="276"/>
      <c r="B3" s="268"/>
      <c r="C3" s="268"/>
      <c r="D3" s="268"/>
      <c r="E3" s="277"/>
      <c r="F3" s="277"/>
      <c r="G3" s="277"/>
      <c r="H3" s="277"/>
      <c r="I3" s="277"/>
      <c r="J3" s="277"/>
      <c r="K3" s="278"/>
    </row>
    <row r="4" spans="1:11" s="5" customFormat="1" ht="13.5" thickBot="1">
      <c r="A4" s="401" t="s">
        <v>284</v>
      </c>
      <c r="B4" s="402"/>
      <c r="C4" s="402"/>
      <c r="D4" s="402"/>
      <c r="E4" s="402"/>
      <c r="F4" s="402"/>
      <c r="G4" s="402"/>
      <c r="H4" s="402"/>
      <c r="I4" s="402"/>
      <c r="J4" s="402"/>
      <c r="K4" s="403"/>
    </row>
    <row r="5" spans="1:3" s="5" customFormat="1" ht="12.75">
      <c r="A5" s="3"/>
      <c r="C5" s="5" t="s">
        <v>89</v>
      </c>
    </row>
    <row r="6" s="5" customFormat="1" ht="12.75">
      <c r="A6" s="3" t="s">
        <v>69</v>
      </c>
    </row>
    <row r="7" s="5" customFormat="1" ht="9.75"/>
    <row r="8" spans="1:4" s="5" customFormat="1" ht="12.75">
      <c r="A8" s="3"/>
      <c r="B8" s="5" t="s">
        <v>174</v>
      </c>
      <c r="C8" s="253" t="s">
        <v>176</v>
      </c>
      <c r="D8" s="5" t="s">
        <v>218</v>
      </c>
    </row>
    <row r="9" spans="3:4" s="294" customFormat="1" ht="9.75">
      <c r="C9" s="295"/>
      <c r="D9" s="114" t="s">
        <v>87</v>
      </c>
    </row>
    <row r="10" spans="3:4" s="4" customFormat="1" ht="9.75">
      <c r="C10" s="295"/>
      <c r="D10" s="4" t="s">
        <v>85</v>
      </c>
    </row>
    <row r="11" spans="3:4" s="4" customFormat="1" ht="9.75">
      <c r="C11" s="295"/>
      <c r="D11" s="4" t="s">
        <v>86</v>
      </c>
    </row>
    <row r="12" s="4" customFormat="1" ht="9.75">
      <c r="C12" s="295"/>
    </row>
    <row r="13" spans="1:4" s="5" customFormat="1" ht="12.75">
      <c r="A13" s="164"/>
      <c r="B13" s="5" t="s">
        <v>175</v>
      </c>
      <c r="C13" s="254" t="s">
        <v>142</v>
      </c>
      <c r="D13" s="5" t="s">
        <v>84</v>
      </c>
    </row>
    <row r="14" spans="1:4" s="5" customFormat="1" ht="12.75">
      <c r="A14" s="164"/>
      <c r="C14" s="165"/>
      <c r="D14" s="4" t="s">
        <v>88</v>
      </c>
    </row>
    <row r="15" spans="1:4" s="5" customFormat="1" ht="12.75">
      <c r="A15" s="164"/>
      <c r="C15" s="293" t="s">
        <v>83</v>
      </c>
      <c r="D15" s="5" t="s">
        <v>257</v>
      </c>
    </row>
    <row r="16" spans="1:3" s="5" customFormat="1" ht="12.75">
      <c r="A16" s="164"/>
      <c r="C16" s="165"/>
    </row>
    <row r="17" spans="1:3" s="5" customFormat="1" ht="12.75">
      <c r="A17" s="164"/>
      <c r="B17" s="5" t="s">
        <v>241</v>
      </c>
      <c r="C17" s="165"/>
    </row>
    <row r="18" spans="1:7" s="5" customFormat="1" ht="12.75">
      <c r="A18" s="164"/>
      <c r="C18" s="4" t="s">
        <v>141</v>
      </c>
      <c r="D18" s="4" t="s">
        <v>219</v>
      </c>
      <c r="E18" s="4"/>
      <c r="F18" s="4"/>
      <c r="G18" s="4"/>
    </row>
    <row r="19" spans="1:7" s="5" customFormat="1" ht="12.75">
      <c r="A19" s="164"/>
      <c r="B19" s="5" t="s">
        <v>89</v>
      </c>
      <c r="C19" s="4" t="s">
        <v>139</v>
      </c>
      <c r="D19" s="4" t="s">
        <v>155</v>
      </c>
      <c r="E19" s="4"/>
      <c r="F19" s="4"/>
      <c r="G19" s="4"/>
    </row>
    <row r="20" spans="1:7" s="5" customFormat="1" ht="12.75">
      <c r="A20" s="164" t="s">
        <v>89</v>
      </c>
      <c r="C20" s="4" t="s">
        <v>140</v>
      </c>
      <c r="D20" s="4" t="s">
        <v>235</v>
      </c>
      <c r="E20" s="4"/>
      <c r="F20" s="4"/>
      <c r="G20" s="4"/>
    </row>
    <row r="21" spans="1:7" s="5" customFormat="1" ht="12.75">
      <c r="A21" s="164"/>
      <c r="C21" s="4" t="s">
        <v>149</v>
      </c>
      <c r="D21" s="4" t="s">
        <v>150</v>
      </c>
      <c r="E21" s="4"/>
      <c r="F21" s="4"/>
      <c r="G21" s="4"/>
    </row>
    <row r="22" spans="1:7" s="5" customFormat="1" ht="12.75">
      <c r="A22" s="164"/>
      <c r="C22" s="4" t="s">
        <v>145</v>
      </c>
      <c r="D22" s="4" t="s">
        <v>152</v>
      </c>
      <c r="E22" s="4"/>
      <c r="F22" s="4"/>
      <c r="G22" s="4"/>
    </row>
    <row r="23" spans="1:7" s="5" customFormat="1" ht="12.75">
      <c r="A23" s="164"/>
      <c r="C23" s="4"/>
      <c r="D23" s="4"/>
      <c r="E23" s="4"/>
      <c r="F23" s="4"/>
      <c r="G23" s="4"/>
    </row>
    <row r="24" spans="1:7" s="5" customFormat="1" ht="12.75">
      <c r="A24" s="164"/>
      <c r="B24" s="5" t="s">
        <v>242</v>
      </c>
      <c r="C24" s="4"/>
      <c r="D24" s="4"/>
      <c r="E24" s="4"/>
      <c r="F24" s="4"/>
      <c r="G24" s="4"/>
    </row>
    <row r="25" spans="1:8" s="5" customFormat="1" ht="12.75">
      <c r="A25" s="164"/>
      <c r="B25" s="5" t="s">
        <v>89</v>
      </c>
      <c r="C25" s="262" t="s">
        <v>206</v>
      </c>
      <c r="D25" s="4" t="s">
        <v>214</v>
      </c>
      <c r="E25" s="4"/>
      <c r="F25" s="4"/>
      <c r="G25" s="4"/>
      <c r="H25" s="4"/>
    </row>
    <row r="26" spans="1:8" s="5" customFormat="1" ht="12.75">
      <c r="A26" s="164"/>
      <c r="C26" s="262" t="s">
        <v>212</v>
      </c>
      <c r="D26" s="4" t="s">
        <v>215</v>
      </c>
      <c r="E26" s="4"/>
      <c r="F26" s="4"/>
      <c r="G26" s="4"/>
      <c r="H26" s="4"/>
    </row>
    <row r="27" spans="1:8" s="5" customFormat="1" ht="12.75">
      <c r="A27" s="164"/>
      <c r="C27" s="262" t="s">
        <v>210</v>
      </c>
      <c r="D27" s="4" t="s">
        <v>213</v>
      </c>
      <c r="E27" s="4"/>
      <c r="F27" s="4"/>
      <c r="G27" s="4"/>
      <c r="H27" s="4"/>
    </row>
    <row r="28" spans="1:8" s="5" customFormat="1" ht="12.75">
      <c r="A28" s="164"/>
      <c r="C28" s="262" t="s">
        <v>211</v>
      </c>
      <c r="D28" s="4" t="s">
        <v>221</v>
      </c>
      <c r="E28" s="4"/>
      <c r="F28" s="4"/>
      <c r="G28" s="4"/>
      <c r="H28" s="4"/>
    </row>
    <row r="29" spans="1:6" s="5" customFormat="1" ht="12.75">
      <c r="A29" s="164"/>
      <c r="C29" s="262" t="s">
        <v>246</v>
      </c>
      <c r="D29" s="4" t="s">
        <v>82</v>
      </c>
      <c r="E29" s="4"/>
      <c r="F29" s="4"/>
    </row>
    <row r="30" spans="1:7" s="5" customFormat="1" ht="12.75">
      <c r="A30" s="3"/>
      <c r="C30" s="4"/>
      <c r="D30" s="4"/>
      <c r="E30" s="4"/>
      <c r="F30" s="4"/>
      <c r="G30" s="4"/>
    </row>
    <row r="31" spans="1:7" s="5" customFormat="1" ht="12.75">
      <c r="A31" s="3" t="s">
        <v>402</v>
      </c>
      <c r="C31" s="4"/>
      <c r="D31" s="4"/>
      <c r="E31" s="4"/>
      <c r="F31" s="4"/>
      <c r="G31" s="4"/>
    </row>
    <row r="32" spans="1:9" s="5" customFormat="1" ht="12.75">
      <c r="A32" s="3"/>
      <c r="B32" s="4" t="s">
        <v>404</v>
      </c>
      <c r="C32" s="4"/>
      <c r="D32" s="4"/>
      <c r="E32" s="4"/>
      <c r="F32" s="4"/>
      <c r="G32" s="4"/>
      <c r="H32" s="4"/>
      <c r="I32" s="4"/>
    </row>
    <row r="33" spans="1:9" s="5" customFormat="1" ht="12.75">
      <c r="A33" s="3"/>
      <c r="B33" s="4" t="s">
        <v>401</v>
      </c>
      <c r="C33" s="4"/>
      <c r="D33" s="4"/>
      <c r="E33" s="4"/>
      <c r="F33" s="4"/>
      <c r="G33" s="4"/>
      <c r="H33" s="4"/>
      <c r="I33" s="4"/>
    </row>
    <row r="34" spans="1:9" s="5" customFormat="1" ht="12.75">
      <c r="A34" s="3"/>
      <c r="B34" s="4"/>
      <c r="C34" s="4" t="s">
        <v>405</v>
      </c>
      <c r="D34" s="4"/>
      <c r="E34" s="4"/>
      <c r="F34" s="4"/>
      <c r="G34" s="4"/>
      <c r="H34" s="4"/>
      <c r="I34" s="4"/>
    </row>
    <row r="35" spans="1:9" s="5" customFormat="1" ht="12.75">
      <c r="A35" s="3"/>
      <c r="B35" s="4"/>
      <c r="C35" s="4" t="s">
        <v>406</v>
      </c>
      <c r="D35" s="4"/>
      <c r="E35" s="4"/>
      <c r="F35" s="4"/>
      <c r="G35" s="4"/>
      <c r="H35" s="4"/>
      <c r="I35" s="4"/>
    </row>
    <row r="36" spans="1:9" s="5" customFormat="1" ht="12.75">
      <c r="A36" s="3"/>
      <c r="B36" s="4"/>
      <c r="C36" s="4" t="s">
        <v>407</v>
      </c>
      <c r="D36" s="4"/>
      <c r="E36" s="4"/>
      <c r="F36" s="4"/>
      <c r="G36" s="4"/>
      <c r="H36" s="4"/>
      <c r="I36" s="4"/>
    </row>
    <row r="37" spans="1:9" s="5" customFormat="1" ht="12.75">
      <c r="A37" s="3"/>
      <c r="B37" s="4"/>
      <c r="C37" s="4" t="s">
        <v>408</v>
      </c>
      <c r="D37" s="4"/>
      <c r="E37" s="4"/>
      <c r="F37" s="4"/>
      <c r="G37" s="4"/>
      <c r="H37" s="4"/>
      <c r="I37" s="4"/>
    </row>
    <row r="38" spans="1:9" s="5" customFormat="1" ht="12.75">
      <c r="A38" s="3"/>
      <c r="B38" s="4"/>
      <c r="C38" s="4" t="s">
        <v>409</v>
      </c>
      <c r="D38" s="4"/>
      <c r="E38" s="4"/>
      <c r="F38" s="4"/>
      <c r="G38" s="4"/>
      <c r="H38" s="4"/>
      <c r="I38" s="4"/>
    </row>
    <row r="39" spans="1:9" s="5" customFormat="1" ht="12.75">
      <c r="A39" s="3"/>
      <c r="B39" s="4"/>
      <c r="C39" s="4" t="s">
        <v>410</v>
      </c>
      <c r="D39" s="4"/>
      <c r="E39" s="4"/>
      <c r="F39" s="4"/>
      <c r="G39" s="4"/>
      <c r="H39" s="4"/>
      <c r="I39" s="4"/>
    </row>
    <row r="40" spans="1:9" s="5" customFormat="1" ht="12.75">
      <c r="A40" s="3"/>
      <c r="B40" s="4" t="s">
        <v>399</v>
      </c>
      <c r="C40" s="4"/>
      <c r="D40" s="4"/>
      <c r="E40" s="4"/>
      <c r="F40" s="4"/>
      <c r="G40" s="4"/>
      <c r="H40" s="4"/>
      <c r="I40" s="4"/>
    </row>
    <row r="41" spans="1:9" s="5" customFormat="1" ht="12.75">
      <c r="A41" s="3"/>
      <c r="B41" s="4" t="s">
        <v>400</v>
      </c>
      <c r="C41" s="4"/>
      <c r="D41" s="4"/>
      <c r="E41" s="4"/>
      <c r="F41" s="4"/>
      <c r="G41" s="4"/>
      <c r="H41" s="4"/>
      <c r="I41" s="4"/>
    </row>
    <row r="42" spans="1:9" s="5" customFormat="1" ht="12.75">
      <c r="A42" s="3"/>
      <c r="B42" s="4"/>
      <c r="C42" s="4"/>
      <c r="D42" s="4"/>
      <c r="E42" s="4"/>
      <c r="F42" s="4"/>
      <c r="G42" s="4"/>
      <c r="H42" s="4"/>
      <c r="I42" s="4"/>
    </row>
    <row r="43" s="4" customFormat="1" ht="12.75">
      <c r="A43" s="3" t="s">
        <v>411</v>
      </c>
    </row>
    <row r="44" spans="1:11" s="3" customFormat="1" ht="12.75">
      <c r="A44" s="3" t="s">
        <v>89</v>
      </c>
      <c r="B44" s="269"/>
      <c r="C44" s="409" t="s">
        <v>412</v>
      </c>
      <c r="D44" s="394"/>
      <c r="E44" s="394"/>
      <c r="F44" s="394"/>
      <c r="G44" s="394"/>
      <c r="H44" s="394"/>
      <c r="I44" s="394"/>
      <c r="J44" s="394"/>
      <c r="K44" s="394"/>
    </row>
    <row r="45" spans="3:14" s="3" customFormat="1" ht="12.75">
      <c r="C45" s="409" t="s">
        <v>220</v>
      </c>
      <c r="D45" s="394"/>
      <c r="E45" s="394"/>
      <c r="F45" s="394"/>
      <c r="G45" s="394"/>
      <c r="H45" s="394"/>
      <c r="I45" s="394"/>
      <c r="J45" s="394"/>
      <c r="K45" s="394"/>
      <c r="N45" s="25"/>
    </row>
    <row r="46" spans="2:6" s="3" customFormat="1" ht="12.75">
      <c r="B46" s="18"/>
      <c r="C46" s="4" t="s">
        <v>101</v>
      </c>
      <c r="E46" s="25"/>
      <c r="F46" s="4" t="s">
        <v>89</v>
      </c>
    </row>
    <row r="47" spans="2:11" s="3" customFormat="1" ht="12.75">
      <c r="B47" s="270" t="s">
        <v>100</v>
      </c>
      <c r="C47" s="410" t="s">
        <v>52</v>
      </c>
      <c r="D47" s="394"/>
      <c r="E47" s="394"/>
      <c r="F47" s="394"/>
      <c r="G47" s="394"/>
      <c r="H47" s="394"/>
      <c r="I47" s="394"/>
      <c r="J47" s="394"/>
      <c r="K47" s="394"/>
    </row>
    <row r="48" spans="2:11" s="3" customFormat="1" ht="12.75">
      <c r="B48" s="274" t="s">
        <v>226</v>
      </c>
      <c r="C48" s="28" t="s">
        <v>403</v>
      </c>
      <c r="D48" s="267"/>
      <c r="E48" s="267"/>
      <c r="F48" s="267"/>
      <c r="G48" s="267"/>
      <c r="H48" s="267"/>
      <c r="I48" s="267"/>
      <c r="J48" s="267"/>
      <c r="K48" s="267"/>
    </row>
    <row r="49" spans="2:11" s="4" customFormat="1" ht="9.75">
      <c r="B49" s="4" t="s">
        <v>199</v>
      </c>
      <c r="C49" s="28" t="s">
        <v>77</v>
      </c>
      <c r="D49" s="159"/>
      <c r="E49" s="159"/>
      <c r="F49" s="159"/>
      <c r="G49" s="159"/>
      <c r="H49" s="159"/>
      <c r="I49" s="159"/>
      <c r="J49" s="159"/>
      <c r="K49" s="159"/>
    </row>
    <row r="50" spans="2:11" s="4" customFormat="1" ht="9.75">
      <c r="B50" s="4" t="s">
        <v>200</v>
      </c>
      <c r="C50" s="28" t="s">
        <v>68</v>
      </c>
      <c r="D50" s="159"/>
      <c r="E50" s="159"/>
      <c r="F50" s="159"/>
      <c r="G50" s="159"/>
      <c r="H50" s="159"/>
      <c r="I50" s="159"/>
      <c r="J50" s="159"/>
      <c r="K50" s="159"/>
    </row>
    <row r="51" spans="2:6" s="3" customFormat="1" ht="12.75">
      <c r="B51" s="4" t="s">
        <v>198</v>
      </c>
      <c r="C51" s="263" t="s">
        <v>93</v>
      </c>
      <c r="D51" s="30" t="s">
        <v>116</v>
      </c>
      <c r="E51" s="27"/>
      <c r="F51" s="4"/>
    </row>
    <row r="52" spans="3:6" s="3" customFormat="1" ht="12.75">
      <c r="C52" s="28"/>
      <c r="D52" s="26"/>
      <c r="E52" s="27"/>
      <c r="F52" s="4"/>
    </row>
    <row r="53" spans="1:11" s="5" customFormat="1" ht="10.5" thickBot="1">
      <c r="A53" s="242" t="s">
        <v>205</v>
      </c>
      <c r="B53" s="242"/>
      <c r="C53" s="264" t="s">
        <v>93</v>
      </c>
      <c r="D53" s="242"/>
      <c r="E53" s="242"/>
      <c r="F53" s="243"/>
      <c r="G53" s="242"/>
      <c r="H53" s="244" t="s">
        <v>89</v>
      </c>
      <c r="I53" s="242"/>
      <c r="J53" s="242"/>
      <c r="K53" s="242"/>
    </row>
    <row r="54" s="5" customFormat="1" ht="9.75">
      <c r="F54" s="4"/>
    </row>
    <row r="55" spans="1:11" s="4" customFormat="1" ht="9.75">
      <c r="A55" s="4" t="s">
        <v>413</v>
      </c>
      <c r="C55" s="20" t="s">
        <v>357</v>
      </c>
      <c r="D55" s="20"/>
      <c r="E55" s="20"/>
      <c r="F55" s="20"/>
      <c r="G55" s="20"/>
      <c r="H55" s="20"/>
      <c r="I55" s="20"/>
      <c r="J55" s="20"/>
      <c r="K55" s="20"/>
    </row>
    <row r="56" spans="1:11" s="4" customFormat="1" ht="9.75">
      <c r="A56" s="4" t="s">
        <v>97</v>
      </c>
      <c r="C56" s="20" t="s">
        <v>358</v>
      </c>
      <c r="D56" s="20"/>
      <c r="E56" s="20"/>
      <c r="F56" s="20"/>
      <c r="G56" s="20"/>
      <c r="H56" s="20"/>
      <c r="I56" s="20"/>
      <c r="J56" s="20"/>
      <c r="K56" s="20"/>
    </row>
    <row r="57" spans="1:11" s="4" customFormat="1" ht="9.75">
      <c r="A57" s="4" t="s">
        <v>98</v>
      </c>
      <c r="C57" s="21" t="s">
        <v>228</v>
      </c>
      <c r="D57" s="20"/>
      <c r="E57" s="20"/>
      <c r="F57" s="20"/>
      <c r="G57" s="20"/>
      <c r="H57" s="20"/>
      <c r="I57" s="20"/>
      <c r="J57" s="20"/>
      <c r="K57" s="20"/>
    </row>
    <row r="58" spans="1:11" s="4" customFormat="1" ht="9.75">
      <c r="A58" s="4" t="s">
        <v>99</v>
      </c>
      <c r="C58" s="20" t="s">
        <v>359</v>
      </c>
      <c r="D58" s="20"/>
      <c r="E58" s="20"/>
      <c r="F58" s="20" t="s">
        <v>89</v>
      </c>
      <c r="G58" s="20"/>
      <c r="H58" s="20"/>
      <c r="I58" s="20"/>
      <c r="J58" s="20"/>
      <c r="K58" s="20"/>
    </row>
    <row r="59" spans="3:11" s="4" customFormat="1" ht="9.75">
      <c r="C59" s="19"/>
      <c r="D59" s="19"/>
      <c r="E59" s="19"/>
      <c r="F59" s="19"/>
      <c r="G59" s="19"/>
      <c r="H59" s="19"/>
      <c r="I59" s="19"/>
      <c r="J59" s="19"/>
      <c r="K59" s="19"/>
    </row>
    <row r="60" spans="3:11" s="4" customFormat="1" ht="9.75">
      <c r="C60" s="19"/>
      <c r="D60" s="19"/>
      <c r="E60" s="19"/>
      <c r="K60" s="274" t="s">
        <v>226</v>
      </c>
    </row>
    <row r="61" spans="1:11" ht="12.75">
      <c r="A61" s="411" t="s">
        <v>114</v>
      </c>
      <c r="B61" s="412"/>
      <c r="C61" s="413"/>
      <c r="D61" s="61">
        <v>40351</v>
      </c>
      <c r="E61" s="405" t="s">
        <v>360</v>
      </c>
      <c r="F61" s="414"/>
      <c r="G61" s="414"/>
      <c r="H61" s="414"/>
      <c r="I61" s="414"/>
      <c r="J61" s="414"/>
      <c r="K61" s="414"/>
    </row>
    <row r="62" spans="1:11" ht="12.75">
      <c r="A62" s="12"/>
      <c r="B62" s="13"/>
      <c r="C62" s="10" t="s">
        <v>348</v>
      </c>
      <c r="D62" s="20">
        <v>15</v>
      </c>
      <c r="E62" s="37" t="s">
        <v>285</v>
      </c>
      <c r="F62" s="37"/>
      <c r="G62" s="103"/>
      <c r="H62" s="24" t="s">
        <v>89</v>
      </c>
      <c r="I62" s="38" t="s">
        <v>89</v>
      </c>
      <c r="J62" s="7"/>
      <c r="K62" s="11"/>
    </row>
    <row r="63" spans="1:11" ht="12.75">
      <c r="A63" s="12"/>
      <c r="B63" s="13"/>
      <c r="C63" s="10" t="s">
        <v>94</v>
      </c>
      <c r="D63" s="62">
        <v>1156.06</v>
      </c>
      <c r="E63" s="37" t="s">
        <v>102</v>
      </c>
      <c r="F63" s="103"/>
      <c r="G63" s="103"/>
      <c r="H63" s="107" t="s">
        <v>89</v>
      </c>
      <c r="I63" s="108" t="s">
        <v>89</v>
      </c>
      <c r="J63" s="7"/>
      <c r="K63" s="11"/>
    </row>
    <row r="64" spans="1:11" ht="12.75">
      <c r="A64" s="12"/>
      <c r="B64" s="13"/>
      <c r="C64" s="10" t="s">
        <v>94</v>
      </c>
      <c r="D64" s="62">
        <v>0</v>
      </c>
      <c r="E64" s="37" t="s">
        <v>103</v>
      </c>
      <c r="F64" s="103"/>
      <c r="G64" s="103"/>
      <c r="H64" s="107"/>
      <c r="I64" s="108"/>
      <c r="J64" s="7"/>
      <c r="K64" s="11"/>
    </row>
    <row r="65" spans="1:11" ht="12.75">
      <c r="A65" s="12"/>
      <c r="B65" s="13"/>
      <c r="C65" s="10"/>
      <c r="D65" s="275"/>
      <c r="E65" s="19"/>
      <c r="F65" s="210"/>
      <c r="G65" s="210"/>
      <c r="H65" s="211"/>
      <c r="I65" s="212"/>
      <c r="J65" s="213"/>
      <c r="K65" s="214"/>
    </row>
    <row r="66" spans="1:11" ht="12.75">
      <c r="A66" s="153"/>
      <c r="B66" s="13"/>
      <c r="C66" s="32" t="s">
        <v>53</v>
      </c>
      <c r="D66" s="275"/>
      <c r="E66" s="19"/>
      <c r="F66" s="210"/>
      <c r="G66" s="210"/>
      <c r="H66" s="211"/>
      <c r="I66" s="212"/>
      <c r="J66" s="213"/>
      <c r="K66" s="214"/>
    </row>
    <row r="67" spans="1:11" ht="12.75">
      <c r="A67" s="153"/>
      <c r="B67" s="29"/>
      <c r="C67" s="33" t="s">
        <v>327</v>
      </c>
      <c r="D67" s="34">
        <f>SUM(D68:D70)</f>
        <v>1793128.6600000001</v>
      </c>
      <c r="E67" s="404" t="s">
        <v>89</v>
      </c>
      <c r="F67" s="394"/>
      <c r="G67" s="394"/>
      <c r="H67" s="394"/>
      <c r="I67" s="394"/>
      <c r="J67" s="7" t="s">
        <v>89</v>
      </c>
      <c r="K67" s="11"/>
    </row>
    <row r="68" spans="1:11" ht="12.75">
      <c r="A68" s="153"/>
      <c r="B68" s="29"/>
      <c r="C68" s="33" t="s">
        <v>288</v>
      </c>
      <c r="D68" s="63">
        <v>186026.28</v>
      </c>
      <c r="E68" s="37"/>
      <c r="F68" s="103"/>
      <c r="G68" s="103"/>
      <c r="H68" s="107"/>
      <c r="I68" s="108"/>
      <c r="J68" s="7"/>
      <c r="K68" s="11"/>
    </row>
    <row r="69" spans="1:11" ht="12.75">
      <c r="A69" s="153"/>
      <c r="B69" s="29"/>
      <c r="C69" s="33" t="s">
        <v>286</v>
      </c>
      <c r="D69" s="63">
        <v>1222253.26</v>
      </c>
      <c r="E69" s="37"/>
      <c r="F69" s="103"/>
      <c r="G69" s="103"/>
      <c r="H69" s="107"/>
      <c r="I69" s="108"/>
      <c r="J69" s="7"/>
      <c r="K69" s="11"/>
    </row>
    <row r="70" spans="1:11" ht="12.75">
      <c r="A70" s="153"/>
      <c r="B70" s="29"/>
      <c r="C70" s="33" t="s">
        <v>287</v>
      </c>
      <c r="D70" s="63">
        <v>384849.12</v>
      </c>
      <c r="E70" s="106" t="s">
        <v>59</v>
      </c>
      <c r="F70" s="17"/>
      <c r="G70" s="17"/>
      <c r="H70" s="17"/>
      <c r="I70" s="334">
        <f>D70</f>
        <v>384849.12</v>
      </c>
      <c r="J70" s="17"/>
      <c r="K70" s="364" t="s">
        <v>43</v>
      </c>
    </row>
    <row r="71" spans="1:11" ht="12.75">
      <c r="A71" s="153"/>
      <c r="B71" s="29"/>
      <c r="C71" s="33"/>
      <c r="D71" s="335"/>
      <c r="E71" s="106" t="s">
        <v>329</v>
      </c>
      <c r="F71" s="17"/>
      <c r="G71" s="17"/>
      <c r="H71" s="17"/>
      <c r="I71" s="339"/>
      <c r="J71" s="17"/>
      <c r="K71" s="358">
        <f>G107</f>
        <v>40</v>
      </c>
    </row>
    <row r="72" spans="1:11" ht="12.75">
      <c r="A72" s="153"/>
      <c r="B72" s="29"/>
      <c r="C72" s="32" t="s">
        <v>60</v>
      </c>
      <c r="D72" s="335">
        <f>(D67*D127)+D67</f>
        <v>1891750.7363000002</v>
      </c>
      <c r="E72" s="106" t="s">
        <v>364</v>
      </c>
      <c r="F72" s="17"/>
      <c r="G72" s="17"/>
      <c r="H72" s="17"/>
      <c r="I72" s="339"/>
      <c r="J72" s="17"/>
      <c r="K72" s="333" t="s">
        <v>185</v>
      </c>
    </row>
    <row r="73" spans="1:11" ht="12.75">
      <c r="A73" s="153"/>
      <c r="B73" s="29"/>
      <c r="C73" s="33" t="s">
        <v>361</v>
      </c>
      <c r="D73" s="335">
        <f>D72-D67</f>
        <v>98622.07630000007</v>
      </c>
      <c r="E73" s="106" t="s">
        <v>363</v>
      </c>
      <c r="F73" s="17"/>
      <c r="G73" s="17"/>
      <c r="H73" s="17"/>
      <c r="I73" s="339"/>
      <c r="J73" s="17"/>
      <c r="K73" s="333"/>
    </row>
    <row r="74" spans="1:11" ht="12.75">
      <c r="A74" s="153"/>
      <c r="B74" s="29"/>
      <c r="C74" s="33"/>
      <c r="D74" s="335"/>
      <c r="E74" s="336"/>
      <c r="F74" s="31"/>
      <c r="G74" s="31"/>
      <c r="H74" s="31"/>
      <c r="I74" s="337"/>
      <c r="J74" s="31"/>
      <c r="K74" s="338"/>
    </row>
    <row r="75" spans="1:11" ht="12.75">
      <c r="A75" s="153"/>
      <c r="B75" s="29"/>
      <c r="C75" s="32" t="s">
        <v>1</v>
      </c>
      <c r="D75" s="335"/>
      <c r="E75" s="336"/>
      <c r="F75" s="31"/>
      <c r="G75" s="31"/>
      <c r="H75" s="31"/>
      <c r="I75" s="337"/>
      <c r="J75" s="31"/>
      <c r="K75" s="338"/>
    </row>
    <row r="76" spans="1:11" ht="12.75">
      <c r="A76" s="153"/>
      <c r="B76" s="29"/>
      <c r="C76" s="33" t="s">
        <v>300</v>
      </c>
      <c r="D76" s="63">
        <v>18900</v>
      </c>
      <c r="E76" s="106" t="s">
        <v>365</v>
      </c>
      <c r="F76" s="17"/>
      <c r="G76" s="17"/>
      <c r="H76" s="17"/>
      <c r="I76" s="339"/>
      <c r="J76" s="17"/>
      <c r="K76" s="333"/>
    </row>
    <row r="77" spans="1:11" ht="12.75">
      <c r="A77" s="153"/>
      <c r="B77" s="29"/>
      <c r="C77" s="33" t="s">
        <v>301</v>
      </c>
      <c r="D77" s="63">
        <v>1245</v>
      </c>
      <c r="E77" s="106" t="s">
        <v>61</v>
      </c>
      <c r="F77" s="17"/>
      <c r="G77" s="17"/>
      <c r="H77" s="17"/>
      <c r="I77" s="339"/>
      <c r="J77" s="17"/>
      <c r="K77" s="333"/>
    </row>
    <row r="78" spans="1:11" ht="12.75">
      <c r="A78" s="153"/>
      <c r="B78" s="29"/>
      <c r="C78" s="33" t="s">
        <v>302</v>
      </c>
      <c r="D78" s="63">
        <v>1245</v>
      </c>
      <c r="E78" s="106" t="s">
        <v>61</v>
      </c>
      <c r="F78" s="17"/>
      <c r="G78" s="17"/>
      <c r="H78" s="17"/>
      <c r="I78" s="339"/>
      <c r="J78" s="17"/>
      <c r="K78" s="333"/>
    </row>
    <row r="79" spans="1:11" ht="12.75">
      <c r="A79" s="153"/>
      <c r="B79" s="29"/>
      <c r="C79" s="33" t="s">
        <v>259</v>
      </c>
      <c r="D79" s="63">
        <v>8642.52</v>
      </c>
      <c r="E79" s="106" t="s">
        <v>294</v>
      </c>
      <c r="F79" s="17"/>
      <c r="G79" s="17"/>
      <c r="H79" s="17"/>
      <c r="I79" s="339"/>
      <c r="J79" s="17"/>
      <c r="K79" s="333"/>
    </row>
    <row r="80" spans="1:11" ht="12.75">
      <c r="A80" s="153"/>
      <c r="B80" s="29"/>
      <c r="C80" s="33" t="s">
        <v>293</v>
      </c>
      <c r="D80" s="63">
        <v>435</v>
      </c>
      <c r="E80" s="106" t="s">
        <v>295</v>
      </c>
      <c r="F80" s="17"/>
      <c r="G80" s="17"/>
      <c r="H80" s="17"/>
      <c r="I80" s="339"/>
      <c r="J80" s="17"/>
      <c r="K80" s="333"/>
    </row>
    <row r="81" spans="1:11" ht="12.75">
      <c r="A81" s="153"/>
      <c r="B81" s="29"/>
      <c r="C81" s="33" t="s">
        <v>91</v>
      </c>
      <c r="D81" s="34">
        <f>SUM(D76:D80)</f>
        <v>30467.52</v>
      </c>
      <c r="E81" s="106"/>
      <c r="F81" s="17"/>
      <c r="G81" s="17"/>
      <c r="H81" s="17"/>
      <c r="I81" s="339"/>
      <c r="J81" s="17"/>
      <c r="K81" s="333"/>
    </row>
    <row r="82" spans="1:11" ht="12.75">
      <c r="A82" s="12"/>
      <c r="B82" s="13"/>
      <c r="C82" s="10"/>
      <c r="D82" s="64"/>
      <c r="E82" s="19"/>
      <c r="F82" s="210"/>
      <c r="G82" s="210"/>
      <c r="H82" s="211"/>
      <c r="I82" s="212"/>
      <c r="J82" s="213"/>
      <c r="K82" s="214"/>
    </row>
    <row r="83" spans="1:11" ht="12.75">
      <c r="A83" s="12"/>
      <c r="B83" s="29"/>
      <c r="C83" s="32" t="s">
        <v>370</v>
      </c>
      <c r="D83" s="64"/>
      <c r="E83" s="19"/>
      <c r="F83" s="210"/>
      <c r="G83" s="210"/>
      <c r="H83" s="211"/>
      <c r="I83" s="212"/>
      <c r="J83" s="213"/>
      <c r="K83" s="214"/>
    </row>
    <row r="84" spans="1:11" ht="12.75">
      <c r="A84" s="12"/>
      <c r="B84" s="271"/>
      <c r="C84" s="272" t="s">
        <v>223</v>
      </c>
      <c r="D84" s="63">
        <v>60.84</v>
      </c>
      <c r="E84" s="404" t="s">
        <v>366</v>
      </c>
      <c r="F84" s="394"/>
      <c r="G84" s="394"/>
      <c r="H84" s="394"/>
      <c r="I84" s="394"/>
      <c r="J84" s="394"/>
      <c r="K84" s="279" t="s">
        <v>211</v>
      </c>
    </row>
    <row r="85" spans="1:11" ht="12.75">
      <c r="A85" s="12"/>
      <c r="B85" s="13"/>
      <c r="C85" s="272" t="s">
        <v>222</v>
      </c>
      <c r="D85" s="223">
        <f>D129</f>
        <v>0.017</v>
      </c>
      <c r="E85" s="405" t="s">
        <v>272</v>
      </c>
      <c r="F85" s="405"/>
      <c r="G85" s="405"/>
      <c r="H85" s="405"/>
      <c r="I85" s="405"/>
      <c r="J85" s="405"/>
      <c r="K85" s="290" t="s">
        <v>229</v>
      </c>
    </row>
    <row r="86" spans="1:11" ht="12.75">
      <c r="A86" s="12"/>
      <c r="B86" s="13"/>
      <c r="C86" s="33" t="s">
        <v>104</v>
      </c>
      <c r="D86" s="49">
        <f>D84*D63</f>
        <v>70334.6904</v>
      </c>
      <c r="E86" s="273" t="s">
        <v>289</v>
      </c>
      <c r="F86" s="273"/>
      <c r="G86" s="273"/>
      <c r="H86" s="273"/>
      <c r="I86" s="273"/>
      <c r="J86" s="273"/>
      <c r="K86" s="365"/>
    </row>
    <row r="87" spans="1:11" ht="12.75">
      <c r="A87" s="12"/>
      <c r="B87" s="271"/>
      <c r="C87" s="272" t="s">
        <v>224</v>
      </c>
      <c r="D87" s="223">
        <v>0.015</v>
      </c>
      <c r="E87" s="37" t="s">
        <v>367</v>
      </c>
      <c r="F87" s="103"/>
      <c r="G87" s="103"/>
      <c r="H87" s="24"/>
      <c r="I87" s="38"/>
      <c r="J87" s="7"/>
      <c r="K87" s="291" t="s">
        <v>229</v>
      </c>
    </row>
    <row r="88" spans="1:11" ht="12.75">
      <c r="A88" s="12"/>
      <c r="B88" s="13"/>
      <c r="C88" s="272" t="s">
        <v>225</v>
      </c>
      <c r="D88" s="223">
        <v>0.015</v>
      </c>
      <c r="E88" s="37" t="s">
        <v>368</v>
      </c>
      <c r="F88" s="103"/>
      <c r="G88" s="103"/>
      <c r="H88" s="24"/>
      <c r="I88" s="38"/>
      <c r="J88" s="7"/>
      <c r="K88" s="291" t="s">
        <v>229</v>
      </c>
    </row>
    <row r="89" spans="1:11" ht="12.75">
      <c r="A89" s="12"/>
      <c r="B89" s="13"/>
      <c r="C89" s="272" t="s">
        <v>227</v>
      </c>
      <c r="D89" s="65">
        <f>D86*(D87+D88)</f>
        <v>2110.040712</v>
      </c>
      <c r="E89" s="37" t="s">
        <v>369</v>
      </c>
      <c r="F89" s="103"/>
      <c r="G89" s="103"/>
      <c r="H89" s="24"/>
      <c r="I89" s="38"/>
      <c r="J89" s="7"/>
      <c r="K89" s="11"/>
    </row>
    <row r="90" spans="1:11" ht="12.75">
      <c r="A90" s="153"/>
      <c r="B90" s="29"/>
      <c r="C90" s="32" t="s">
        <v>109</v>
      </c>
      <c r="D90" s="49">
        <f>D86-D89</f>
        <v>68224.649688</v>
      </c>
      <c r="E90" s="37" t="s">
        <v>56</v>
      </c>
      <c r="F90" s="103"/>
      <c r="G90" s="103"/>
      <c r="H90" s="24"/>
      <c r="I90" s="38"/>
      <c r="J90" s="7"/>
      <c r="K90" s="11"/>
    </row>
    <row r="91" spans="1:11" ht="12.75">
      <c r="A91" s="153"/>
      <c r="B91" s="29"/>
      <c r="C91" s="32" t="s">
        <v>371</v>
      </c>
      <c r="D91" s="49"/>
      <c r="E91" s="37" t="s">
        <v>89</v>
      </c>
      <c r="F91" s="103"/>
      <c r="G91" s="103"/>
      <c r="H91" s="24"/>
      <c r="I91" s="38"/>
      <c r="J91" s="7" t="s">
        <v>89</v>
      </c>
      <c r="K91" s="11"/>
    </row>
    <row r="92" spans="1:11" ht="12.75">
      <c r="A92" s="12"/>
      <c r="B92" s="13"/>
      <c r="C92" s="33" t="s">
        <v>216</v>
      </c>
      <c r="D92" s="66">
        <v>400</v>
      </c>
      <c r="E92" s="106" t="s">
        <v>296</v>
      </c>
      <c r="F92" s="102"/>
      <c r="G92" s="102"/>
      <c r="H92" s="102"/>
      <c r="I92" s="102"/>
      <c r="J92" s="340" t="s">
        <v>89</v>
      </c>
      <c r="K92" s="279" t="s">
        <v>231</v>
      </c>
    </row>
    <row r="93" spans="1:11" ht="12.75">
      <c r="A93" s="12"/>
      <c r="B93" s="13"/>
      <c r="C93" s="10"/>
      <c r="D93" s="22"/>
      <c r="E93" s="42"/>
      <c r="F93" s="31"/>
      <c r="G93" s="31"/>
      <c r="H93" s="31"/>
      <c r="I93" s="31"/>
      <c r="J93" s="31"/>
      <c r="K93" s="31"/>
    </row>
    <row r="94" spans="1:11" s="2" customFormat="1" ht="12.75">
      <c r="A94" s="35" t="s">
        <v>3</v>
      </c>
      <c r="B94" s="29"/>
      <c r="C94" s="32"/>
      <c r="D94" s="34"/>
      <c r="E94" s="110" t="s">
        <v>90</v>
      </c>
      <c r="F94" s="238" t="s">
        <v>89</v>
      </c>
      <c r="G94" s="238"/>
      <c r="H94" s="239"/>
      <c r="I94" s="97"/>
      <c r="J94" s="265" t="s">
        <v>93</v>
      </c>
      <c r="K94" s="97"/>
    </row>
    <row r="95" spans="1:11" ht="12.75">
      <c r="A95" s="194" t="s">
        <v>172</v>
      </c>
      <c r="B95" s="195"/>
      <c r="C95" s="202" t="s">
        <v>117</v>
      </c>
      <c r="D95" s="203">
        <v>83237</v>
      </c>
      <c r="E95" s="193">
        <f>D95/D111</f>
        <v>0.044002047575127816</v>
      </c>
      <c r="F95" s="100" t="s">
        <v>372</v>
      </c>
      <c r="G95" s="100"/>
      <c r="H95" s="102"/>
      <c r="I95" s="102"/>
      <c r="J95" s="102"/>
      <c r="K95" s="280" t="s">
        <v>232</v>
      </c>
    </row>
    <row r="96" spans="1:11" ht="12.75">
      <c r="A96" s="196"/>
      <c r="B96" s="197"/>
      <c r="C96" s="154" t="s">
        <v>118</v>
      </c>
      <c r="D96" s="204">
        <v>0</v>
      </c>
      <c r="E96" s="193">
        <f>D96/D111</f>
        <v>0</v>
      </c>
      <c r="F96" s="100" t="s">
        <v>373</v>
      </c>
      <c r="G96" s="100"/>
      <c r="H96" s="102"/>
      <c r="I96" s="102"/>
      <c r="J96" s="102"/>
      <c r="K96" s="280" t="s">
        <v>232</v>
      </c>
    </row>
    <row r="97" spans="1:11" ht="12.75">
      <c r="A97" s="196"/>
      <c r="B97" s="197"/>
      <c r="C97" s="154" t="s">
        <v>119</v>
      </c>
      <c r="D97" s="204">
        <v>75000</v>
      </c>
      <c r="E97" s="193">
        <f>D97/D111</f>
        <v>0.03964767553052832</v>
      </c>
      <c r="F97" s="100"/>
      <c r="G97" s="100"/>
      <c r="H97" s="102"/>
      <c r="I97" s="102"/>
      <c r="J97" s="102"/>
      <c r="K97" s="447" t="s">
        <v>89</v>
      </c>
    </row>
    <row r="98" spans="1:11" ht="12.75">
      <c r="A98" s="196"/>
      <c r="B98" s="197"/>
      <c r="C98" s="154" t="s">
        <v>121</v>
      </c>
      <c r="D98" s="204">
        <v>60116</v>
      </c>
      <c r="E98" s="193">
        <f>D98/D111</f>
        <v>0.031779462162576544</v>
      </c>
      <c r="F98" s="100" t="s">
        <v>373</v>
      </c>
      <c r="G98" s="100"/>
      <c r="H98" s="102"/>
      <c r="I98" s="102"/>
      <c r="J98" s="102"/>
      <c r="K98" s="280" t="s">
        <v>232</v>
      </c>
    </row>
    <row r="99" spans="1:11" ht="12.75">
      <c r="A99" s="196"/>
      <c r="B99" s="197"/>
      <c r="C99" s="154" t="s">
        <v>120</v>
      </c>
      <c r="D99" s="204">
        <v>0</v>
      </c>
      <c r="E99" s="193">
        <f>D99/D111</f>
        <v>0</v>
      </c>
      <c r="F99" s="100" t="s">
        <v>373</v>
      </c>
      <c r="G99" s="100"/>
      <c r="H99" s="102"/>
      <c r="I99" s="102"/>
      <c r="J99" s="102"/>
      <c r="K99" s="280" t="s">
        <v>232</v>
      </c>
    </row>
    <row r="100" spans="1:11" ht="12.75">
      <c r="A100" s="196"/>
      <c r="B100" s="197"/>
      <c r="C100" s="154" t="s">
        <v>122</v>
      </c>
      <c r="D100" s="204">
        <v>0</v>
      </c>
      <c r="E100" s="193">
        <f>D100/D111</f>
        <v>0</v>
      </c>
      <c r="F100" s="100" t="s">
        <v>373</v>
      </c>
      <c r="G100" s="100"/>
      <c r="H100" s="102"/>
      <c r="I100" s="102"/>
      <c r="J100" s="102"/>
      <c r="K100" s="280" t="s">
        <v>232</v>
      </c>
    </row>
    <row r="101" spans="1:11" ht="12.75">
      <c r="A101" s="196"/>
      <c r="B101" s="197"/>
      <c r="C101" s="154" t="s">
        <v>123</v>
      </c>
      <c r="D101" s="204">
        <v>0</v>
      </c>
      <c r="E101" s="193">
        <f>D101/D111</f>
        <v>0</v>
      </c>
      <c r="F101" s="100" t="s">
        <v>373</v>
      </c>
      <c r="G101" s="100"/>
      <c r="H101" s="102"/>
      <c r="I101" s="102"/>
      <c r="J101" s="102"/>
      <c r="K101" s="280" t="s">
        <v>232</v>
      </c>
    </row>
    <row r="102" spans="1:11" ht="12.75">
      <c r="A102" s="196"/>
      <c r="B102" s="197"/>
      <c r="C102" s="154" t="s">
        <v>124</v>
      </c>
      <c r="D102" s="204">
        <v>36000</v>
      </c>
      <c r="E102" s="193">
        <f>D102/D111</f>
        <v>0.019030884254653595</v>
      </c>
      <c r="F102" s="100" t="s">
        <v>132</v>
      </c>
      <c r="G102" s="100"/>
      <c r="H102" s="102"/>
      <c r="I102" s="102"/>
      <c r="J102" s="102"/>
      <c r="K102" s="280" t="s">
        <v>232</v>
      </c>
    </row>
    <row r="103" spans="1:11" ht="12.75">
      <c r="A103" s="198"/>
      <c r="B103" s="199"/>
      <c r="C103" s="205" t="s">
        <v>125</v>
      </c>
      <c r="D103" s="206">
        <v>0</v>
      </c>
      <c r="E103" s="193">
        <f>D103/D111</f>
        <v>0</v>
      </c>
      <c r="F103" s="100" t="s">
        <v>374</v>
      </c>
      <c r="G103" s="100"/>
      <c r="H103" s="102"/>
      <c r="I103" s="102"/>
      <c r="J103" s="102"/>
      <c r="K103" s="280" t="s">
        <v>232</v>
      </c>
    </row>
    <row r="104" spans="1:11" ht="12.75">
      <c r="A104" s="12"/>
      <c r="B104" s="13"/>
      <c r="C104" s="10" t="s">
        <v>2</v>
      </c>
      <c r="D104" s="34">
        <f>SUM(D95:D103)</f>
        <v>254353</v>
      </c>
      <c r="E104" s="193">
        <f>SUM(E95:E103)</f>
        <v>0.13446006952288628</v>
      </c>
      <c r="F104" s="100" t="s">
        <v>376</v>
      </c>
      <c r="G104" s="100"/>
      <c r="H104" s="102"/>
      <c r="I104" s="224">
        <f>E97</f>
        <v>0.03964767553052832</v>
      </c>
      <c r="J104" s="100" t="s">
        <v>377</v>
      </c>
      <c r="K104" s="17"/>
    </row>
    <row r="105" spans="1:11" ht="12.75">
      <c r="A105" s="200" t="s">
        <v>73</v>
      </c>
      <c r="B105" s="201"/>
      <c r="C105" s="441" t="s">
        <v>385</v>
      </c>
      <c r="D105" s="378">
        <v>87308.97</v>
      </c>
      <c r="E105" s="193">
        <f>D105/D111</f>
        <v>0.04615463617952842</v>
      </c>
      <c r="F105" s="100" t="s">
        <v>384</v>
      </c>
      <c r="G105" s="100"/>
      <c r="H105" s="102"/>
      <c r="I105" s="102"/>
      <c r="J105" s="102"/>
      <c r="K105" s="280" t="s">
        <v>230</v>
      </c>
    </row>
    <row r="106" spans="1:11" ht="12.75">
      <c r="A106" s="35" t="s">
        <v>54</v>
      </c>
      <c r="B106" s="13"/>
      <c r="C106" s="10"/>
      <c r="D106" s="22"/>
      <c r="E106" s="193" t="s">
        <v>89</v>
      </c>
      <c r="F106" s="101" t="s">
        <v>126</v>
      </c>
      <c r="G106" s="101" t="s">
        <v>92</v>
      </c>
      <c r="H106" s="281" t="s">
        <v>245</v>
      </c>
      <c r="I106" s="450"/>
      <c r="J106" s="17"/>
      <c r="K106" s="17"/>
    </row>
    <row r="107" spans="1:11" ht="12.75">
      <c r="A107" s="194" t="s">
        <v>89</v>
      </c>
      <c r="B107" s="195"/>
      <c r="C107" s="202" t="s">
        <v>105</v>
      </c>
      <c r="D107" s="203">
        <v>1097200</v>
      </c>
      <c r="E107" s="193">
        <f>D107/D111</f>
        <v>0.5800190612279423</v>
      </c>
      <c r="F107" s="451">
        <v>0.031</v>
      </c>
      <c r="G107" s="307">
        <v>40</v>
      </c>
      <c r="H107" s="448" t="s">
        <v>304</v>
      </c>
      <c r="I107" s="448"/>
      <c r="J107" s="173"/>
      <c r="K107" s="280" t="s">
        <v>233</v>
      </c>
    </row>
    <row r="108" spans="1:11" ht="12.75">
      <c r="A108" s="196"/>
      <c r="B108" s="197"/>
      <c r="C108" s="154" t="s">
        <v>110</v>
      </c>
      <c r="D108" s="204">
        <v>302800</v>
      </c>
      <c r="E108" s="193">
        <f>D108/D111</f>
        <v>0.16007088200858635</v>
      </c>
      <c r="F108" s="451">
        <v>0.031</v>
      </c>
      <c r="G108" s="307">
        <v>50</v>
      </c>
      <c r="H108" s="448" t="s">
        <v>305</v>
      </c>
      <c r="I108" s="449"/>
      <c r="J108" s="17"/>
      <c r="K108" s="280" t="s">
        <v>233</v>
      </c>
    </row>
    <row r="109" spans="1:11" ht="12.75">
      <c r="A109" s="196"/>
      <c r="B109" s="197"/>
      <c r="C109" s="154" t="s">
        <v>111</v>
      </c>
      <c r="D109" s="204">
        <v>150000</v>
      </c>
      <c r="E109" s="193">
        <f>D109/D111</f>
        <v>0.07929535106105665</v>
      </c>
      <c r="F109" s="451">
        <v>0.01</v>
      </c>
      <c r="G109" s="307">
        <v>25</v>
      </c>
      <c r="H109" s="448" t="s">
        <v>306</v>
      </c>
      <c r="I109" s="449"/>
      <c r="J109" s="17"/>
      <c r="K109" s="280" t="s">
        <v>233</v>
      </c>
    </row>
    <row r="110" spans="1:11" ht="12.75">
      <c r="A110" s="196"/>
      <c r="B110" s="197"/>
      <c r="C110" s="154" t="s">
        <v>112</v>
      </c>
      <c r="D110" s="204">
        <v>0</v>
      </c>
      <c r="E110" s="193">
        <f>D110/D111</f>
        <v>0</v>
      </c>
      <c r="F110" s="451">
        <v>0.04</v>
      </c>
      <c r="G110" s="307">
        <v>15</v>
      </c>
      <c r="H110" s="448" t="s">
        <v>307</v>
      </c>
      <c r="I110" s="449"/>
      <c r="J110" s="17"/>
      <c r="K110" s="280" t="s">
        <v>233</v>
      </c>
    </row>
    <row r="111" spans="1:11" ht="12.75">
      <c r="A111" s="200" t="s">
        <v>91</v>
      </c>
      <c r="B111" s="201"/>
      <c r="C111" s="207" t="s">
        <v>173</v>
      </c>
      <c r="D111" s="208">
        <f>SUM(D104:D110)</f>
        <v>1891661.97</v>
      </c>
      <c r="E111" s="438">
        <f>SUM(E95:E110)-E104</f>
        <v>0.9999999999999999</v>
      </c>
      <c r="F111" s="102"/>
      <c r="G111" s="17"/>
      <c r="H111" s="17"/>
      <c r="I111" s="17"/>
      <c r="J111" s="17"/>
      <c r="K111" s="17"/>
    </row>
    <row r="112" spans="1:11" ht="12.75">
      <c r="A112" s="294"/>
      <c r="B112" s="197"/>
      <c r="C112" s="154"/>
      <c r="D112" s="34"/>
      <c r="E112" s="439"/>
      <c r="F112" s="102"/>
      <c r="G112" s="17"/>
      <c r="H112" s="17"/>
      <c r="I112" s="17"/>
      <c r="J112" s="17"/>
      <c r="K112" s="17"/>
    </row>
    <row r="113" spans="1:11" ht="12.75">
      <c r="A113" s="294" t="s">
        <v>378</v>
      </c>
      <c r="B113" s="197"/>
      <c r="C113" s="154"/>
      <c r="D113" s="34"/>
      <c r="E113" s="439"/>
      <c r="F113" s="102"/>
      <c r="G113" s="17"/>
      <c r="H113" s="17"/>
      <c r="I113" s="17"/>
      <c r="J113" s="17"/>
      <c r="K113" s="17"/>
    </row>
    <row r="114" spans="1:11" ht="12.75">
      <c r="A114" s="12"/>
      <c r="B114" s="13"/>
      <c r="C114" s="10" t="s">
        <v>379</v>
      </c>
      <c r="D114" s="34">
        <f>SUM(D107:D110)</f>
        <v>1550000</v>
      </c>
      <c r="E114" s="440">
        <f>D114/D111</f>
        <v>0.8193852942975853</v>
      </c>
      <c r="F114" s="100" t="s">
        <v>375</v>
      </c>
      <c r="G114" s="100"/>
      <c r="H114" s="17"/>
      <c r="I114" s="17"/>
      <c r="J114" s="17"/>
      <c r="K114" s="17"/>
    </row>
    <row r="115" spans="1:11" ht="12.75">
      <c r="A115" s="12"/>
      <c r="B115" s="271"/>
      <c r="C115" s="272" t="s">
        <v>391</v>
      </c>
      <c r="D115" s="34">
        <f>D105</f>
        <v>87308.97</v>
      </c>
      <c r="E115" s="440">
        <f>E105</f>
        <v>0.04615463617952842</v>
      </c>
      <c r="F115" s="100" t="s">
        <v>381</v>
      </c>
      <c r="G115" s="100"/>
      <c r="H115" s="17"/>
      <c r="I115" s="17"/>
      <c r="J115" s="17"/>
      <c r="K115" s="17"/>
    </row>
    <row r="116" spans="1:11" ht="12.75">
      <c r="A116" s="12"/>
      <c r="B116" s="13"/>
      <c r="C116" s="10" t="s">
        <v>414</v>
      </c>
      <c r="D116" s="34">
        <f>D104</f>
        <v>254353</v>
      </c>
      <c r="E116" s="440">
        <f>E104</f>
        <v>0.13446006952288628</v>
      </c>
      <c r="F116" s="100" t="s">
        <v>382</v>
      </c>
      <c r="G116" s="100"/>
      <c r="H116" s="17"/>
      <c r="I116" s="17"/>
      <c r="J116" s="17"/>
      <c r="K116" s="17"/>
    </row>
    <row r="117" spans="1:11" ht="12.75">
      <c r="A117" s="12"/>
      <c r="B117" s="13"/>
      <c r="C117" s="10" t="s">
        <v>380</v>
      </c>
      <c r="D117" s="34">
        <f>D97</f>
        <v>75000</v>
      </c>
      <c r="E117" s="440">
        <f>E97</f>
        <v>0.03964767553052832</v>
      </c>
      <c r="F117" s="100" t="s">
        <v>383</v>
      </c>
      <c r="G117" s="100"/>
      <c r="H117" s="17"/>
      <c r="I117" s="17"/>
      <c r="J117" s="17"/>
      <c r="K117" s="17"/>
    </row>
    <row r="118" spans="1:11" ht="12.75">
      <c r="A118" s="12"/>
      <c r="B118" s="13"/>
      <c r="C118" s="10"/>
      <c r="D118" s="34"/>
      <c r="E118" s="193"/>
      <c r="F118" s="100"/>
      <c r="G118" s="100"/>
      <c r="H118" s="17"/>
      <c r="I118" s="17"/>
      <c r="J118" s="17"/>
      <c r="K118" s="17"/>
    </row>
    <row r="119" spans="1:11" ht="12.75">
      <c r="A119" s="35" t="s">
        <v>236</v>
      </c>
      <c r="B119" s="13"/>
      <c r="C119" s="10"/>
      <c r="D119" s="34"/>
      <c r="E119" s="415" t="s">
        <v>349</v>
      </c>
      <c r="F119" s="394"/>
      <c r="G119" s="394"/>
      <c r="H119" s="394"/>
      <c r="I119" s="394"/>
      <c r="J119" s="394"/>
      <c r="K119" s="17"/>
    </row>
    <row r="120" spans="1:11" ht="12.75">
      <c r="A120" s="12"/>
      <c r="B120" s="13"/>
      <c r="C120" s="10" t="s">
        <v>137</v>
      </c>
      <c r="D120" s="99">
        <f>D132*D114</f>
        <v>31000</v>
      </c>
      <c r="E120" s="106" t="s">
        <v>44</v>
      </c>
      <c r="F120" s="102"/>
      <c r="G120" s="102"/>
      <c r="H120" s="102"/>
      <c r="I120" s="102"/>
      <c r="J120" s="17"/>
      <c r="K120" s="280" t="s">
        <v>240</v>
      </c>
    </row>
    <row r="121" spans="1:11" ht="12.75">
      <c r="A121" s="12"/>
      <c r="B121" s="13"/>
      <c r="C121" s="10" t="s">
        <v>89</v>
      </c>
      <c r="D121" s="22" t="s">
        <v>89</v>
      </c>
      <c r="E121" s="42" t="s">
        <v>89</v>
      </c>
      <c r="F121" s="31"/>
      <c r="G121" s="31"/>
      <c r="H121" s="31"/>
      <c r="I121" s="31"/>
      <c r="J121" s="31"/>
      <c r="K121" s="31"/>
    </row>
    <row r="122" spans="1:11" ht="12.75">
      <c r="A122" s="395" t="s">
        <v>71</v>
      </c>
      <c r="B122" s="396"/>
      <c r="C122" s="316" t="s">
        <v>207</v>
      </c>
      <c r="D122" s="307">
        <v>2010</v>
      </c>
      <c r="E122" s="273" t="s">
        <v>395</v>
      </c>
      <c r="F122" s="446"/>
      <c r="G122" s="446"/>
      <c r="H122" s="442"/>
      <c r="I122" s="443"/>
      <c r="J122" s="444"/>
      <c r="K122" s="445"/>
    </row>
    <row r="123" spans="1:11" ht="12.75">
      <c r="A123" s="12"/>
      <c r="B123" s="13"/>
      <c r="C123" s="10" t="s">
        <v>127</v>
      </c>
      <c r="D123" s="67">
        <v>0.0359</v>
      </c>
      <c r="E123" s="393" t="s">
        <v>396</v>
      </c>
      <c r="F123" s="394"/>
      <c r="G123" s="394"/>
      <c r="H123" s="394"/>
      <c r="I123" s="394"/>
      <c r="J123" s="265" t="s">
        <v>93</v>
      </c>
      <c r="K123" s="282" t="s">
        <v>89</v>
      </c>
    </row>
    <row r="124" spans="1:11" ht="12.75">
      <c r="A124" s="12"/>
      <c r="B124" s="13"/>
      <c r="C124" s="10" t="s">
        <v>201</v>
      </c>
      <c r="D124" s="39">
        <v>0.0275</v>
      </c>
      <c r="E124" s="240" t="s">
        <v>397</v>
      </c>
      <c r="F124" s="17"/>
      <c r="G124" s="17"/>
      <c r="H124" s="17"/>
      <c r="I124" s="17"/>
      <c r="J124" s="9"/>
      <c r="K124" s="291" t="s">
        <v>229</v>
      </c>
    </row>
    <row r="125" spans="1:11" ht="12.75">
      <c r="A125" s="12"/>
      <c r="B125" s="13"/>
      <c r="C125" s="10" t="s">
        <v>335</v>
      </c>
      <c r="D125" s="341">
        <f>D67+(D67*D126)-D105</f>
        <v>2057272.9073600003</v>
      </c>
      <c r="E125" s="240" t="s">
        <v>398</v>
      </c>
      <c r="F125" s="17"/>
      <c r="G125" s="17"/>
      <c r="H125" s="17"/>
      <c r="I125" s="17"/>
      <c r="J125" s="9"/>
      <c r="K125" s="353"/>
    </row>
    <row r="126" spans="1:11" ht="12.75">
      <c r="A126" s="12"/>
      <c r="B126" s="13"/>
      <c r="C126" s="10" t="s">
        <v>297</v>
      </c>
      <c r="D126" s="67">
        <v>0.196</v>
      </c>
      <c r="E126" s="240" t="s">
        <v>74</v>
      </c>
      <c r="F126" s="17"/>
      <c r="G126" s="17"/>
      <c r="H126" s="17"/>
      <c r="I126" s="17"/>
      <c r="J126" s="9"/>
      <c r="K126" s="353"/>
    </row>
    <row r="127" spans="1:11" ht="12.75">
      <c r="A127" s="12"/>
      <c r="B127" s="13"/>
      <c r="C127" s="10" t="s">
        <v>298</v>
      </c>
      <c r="D127" s="67">
        <v>0.055</v>
      </c>
      <c r="E127" s="240" t="s">
        <v>74</v>
      </c>
      <c r="F127" s="17"/>
      <c r="G127" s="17"/>
      <c r="H127" s="17"/>
      <c r="I127" s="17"/>
      <c r="J127" s="9"/>
      <c r="K127" s="8"/>
    </row>
    <row r="128" spans="1:11" ht="12.75">
      <c r="A128" s="12"/>
      <c r="B128" s="13"/>
      <c r="C128" s="10" t="s">
        <v>318</v>
      </c>
      <c r="D128" s="39">
        <f>D126-D127</f>
        <v>0.14100000000000001</v>
      </c>
      <c r="E128" s="240" t="s">
        <v>49</v>
      </c>
      <c r="F128" s="17"/>
      <c r="G128" s="17"/>
      <c r="H128" s="17"/>
      <c r="I128" s="17"/>
      <c r="J128" s="9"/>
      <c r="K128" s="8"/>
    </row>
    <row r="129" spans="1:11" ht="12.75">
      <c r="A129" s="12"/>
      <c r="B129" s="13"/>
      <c r="C129" s="10" t="s">
        <v>128</v>
      </c>
      <c r="D129" s="39">
        <v>0.017</v>
      </c>
      <c r="E129" s="104" t="s">
        <v>234</v>
      </c>
      <c r="F129" s="105"/>
      <c r="G129" s="53"/>
      <c r="H129" s="54"/>
      <c r="I129" s="55"/>
      <c r="J129" s="56"/>
      <c r="K129" s="292" t="s">
        <v>229</v>
      </c>
    </row>
    <row r="130" spans="1:12" ht="12.75">
      <c r="A130" s="12"/>
      <c r="B130" s="13"/>
      <c r="C130" s="10" t="s">
        <v>202</v>
      </c>
      <c r="D130" s="39">
        <v>0.015</v>
      </c>
      <c r="E130" s="104" t="s">
        <v>234</v>
      </c>
      <c r="F130" s="105"/>
      <c r="G130" s="53"/>
      <c r="H130" s="54"/>
      <c r="I130" s="55"/>
      <c r="J130" s="56"/>
      <c r="K130" s="292" t="s">
        <v>229</v>
      </c>
      <c r="L130" s="225"/>
    </row>
    <row r="131" spans="1:12" ht="12.75">
      <c r="A131" s="12"/>
      <c r="B131" s="13"/>
      <c r="C131" s="10" t="s">
        <v>203</v>
      </c>
      <c r="D131" s="39">
        <v>0.015</v>
      </c>
      <c r="E131" s="104" t="s">
        <v>234</v>
      </c>
      <c r="F131" s="105"/>
      <c r="G131" s="53"/>
      <c r="H131" s="54"/>
      <c r="I131" s="55"/>
      <c r="J131" s="56"/>
      <c r="K131" s="292" t="s">
        <v>229</v>
      </c>
      <c r="L131" s="225"/>
    </row>
    <row r="132" spans="1:12" ht="12.75">
      <c r="A132" s="12"/>
      <c r="B132" s="13"/>
      <c r="C132" s="10" t="s">
        <v>115</v>
      </c>
      <c r="D132" s="39">
        <v>0.02</v>
      </c>
      <c r="E132" s="104" t="s">
        <v>386</v>
      </c>
      <c r="F132" s="105"/>
      <c r="G132" s="53"/>
      <c r="H132" s="54"/>
      <c r="I132" s="55"/>
      <c r="J132" s="56"/>
      <c r="K132" s="292" t="s">
        <v>229</v>
      </c>
      <c r="L132" s="225"/>
    </row>
    <row r="133" spans="1:12" ht="12.75">
      <c r="A133" s="12"/>
      <c r="B133" s="13"/>
      <c r="C133" s="10" t="s">
        <v>299</v>
      </c>
      <c r="D133" s="341">
        <f>G107</f>
        <v>40</v>
      </c>
      <c r="E133" s="104" t="s">
        <v>45</v>
      </c>
      <c r="F133" s="105"/>
      <c r="G133" s="53"/>
      <c r="H133" s="54"/>
      <c r="I133" s="55"/>
      <c r="J133" s="56"/>
      <c r="K133" s="352"/>
      <c r="L133" s="225"/>
    </row>
    <row r="134" spans="1:11" ht="12.75">
      <c r="A134" s="12"/>
      <c r="B134" s="13"/>
      <c r="C134" s="10"/>
      <c r="D134" s="39"/>
      <c r="E134" s="160"/>
      <c r="F134" s="161"/>
      <c r="G134" s="69"/>
      <c r="H134" s="162"/>
      <c r="I134" s="70"/>
      <c r="J134" s="163"/>
      <c r="K134" s="156"/>
    </row>
    <row r="135" spans="1:11" s="6" customFormat="1" ht="10.5" thickBot="1">
      <c r="A135" s="245" t="s">
        <v>204</v>
      </c>
      <c r="B135" s="246"/>
      <c r="C135" s="247"/>
      <c r="D135" s="248"/>
      <c r="E135" s="249"/>
      <c r="F135" s="264" t="s">
        <v>93</v>
      </c>
      <c r="G135" s="250"/>
      <c r="H135" s="251"/>
      <c r="I135" s="252"/>
      <c r="J135" s="72"/>
      <c r="K135" s="250"/>
    </row>
    <row r="136" spans="1:11" ht="12.75">
      <c r="A136" s="209" t="s">
        <v>392</v>
      </c>
      <c r="B136" s="74"/>
      <c r="C136" s="16"/>
      <c r="D136" s="39"/>
      <c r="E136" s="68"/>
      <c r="F136" s="69"/>
      <c r="G136" s="69"/>
      <c r="H136" s="75"/>
      <c r="I136" s="70"/>
      <c r="J136" s="76"/>
      <c r="K136" s="69"/>
    </row>
    <row r="137" spans="1:11" ht="12.75">
      <c r="A137" s="209" t="s">
        <v>177</v>
      </c>
      <c r="B137" s="74"/>
      <c r="C137" s="16"/>
      <c r="D137" s="39"/>
      <c r="E137" s="68"/>
      <c r="F137" s="69"/>
      <c r="G137" s="69"/>
      <c r="H137" s="75"/>
      <c r="I137" s="70"/>
      <c r="J137" s="76"/>
      <c r="K137" s="69"/>
    </row>
    <row r="138" spans="1:11" ht="12.75">
      <c r="A138" s="73"/>
      <c r="B138" s="74"/>
      <c r="C138" s="110" t="s">
        <v>131</v>
      </c>
      <c r="D138" s="111" t="s">
        <v>130</v>
      </c>
      <c r="E138" s="68"/>
      <c r="F138" s="69"/>
      <c r="G138" s="69"/>
      <c r="H138" s="75"/>
      <c r="I138" s="70"/>
      <c r="J138" s="76"/>
      <c r="K138" s="69"/>
    </row>
    <row r="139" spans="1:11" ht="13.5" thickBot="1">
      <c r="A139" s="35" t="s">
        <v>89</v>
      </c>
      <c r="B139" s="71"/>
      <c r="C139" s="14"/>
      <c r="D139" s="39"/>
      <c r="E139" s="112" t="s">
        <v>50</v>
      </c>
      <c r="F139" s="113"/>
      <c r="G139" s="113"/>
      <c r="H139" s="84"/>
      <c r="I139" s="85"/>
      <c r="J139" s="86"/>
      <c r="K139" s="87"/>
    </row>
    <row r="140" spans="1:11" ht="12.75">
      <c r="A140" s="109" t="s">
        <v>46</v>
      </c>
      <c r="B140" s="13"/>
      <c r="C140" s="116" t="s">
        <v>89</v>
      </c>
      <c r="D140" s="117">
        <f>D67</f>
        <v>1793128.6600000001</v>
      </c>
      <c r="E140" s="92" t="s">
        <v>47</v>
      </c>
      <c r="F140" s="88"/>
      <c r="G140" s="88"/>
      <c r="H140" s="78"/>
      <c r="I140" s="93"/>
      <c r="J140" s="89"/>
      <c r="K140" s="90"/>
    </row>
    <row r="141" spans="1:11" ht="12.75">
      <c r="A141" s="109" t="s">
        <v>342</v>
      </c>
      <c r="B141" s="13"/>
      <c r="C141" s="118"/>
      <c r="D141" s="119">
        <f>D140*D126</f>
        <v>351453.21736000007</v>
      </c>
      <c r="E141" s="92" t="s">
        <v>51</v>
      </c>
      <c r="F141" s="88"/>
      <c r="G141" s="88"/>
      <c r="H141" s="78"/>
      <c r="I141" s="93"/>
      <c r="J141" s="89"/>
      <c r="K141" s="90"/>
    </row>
    <row r="142" spans="1:11" ht="12.75">
      <c r="A142" s="408" t="s">
        <v>331</v>
      </c>
      <c r="B142" s="416"/>
      <c r="C142" s="118" t="s">
        <v>89</v>
      </c>
      <c r="D142" s="119">
        <f>'Calculs détaillés'!X66</f>
        <v>1445743.1126591638</v>
      </c>
      <c r="E142" s="92" t="s">
        <v>393</v>
      </c>
      <c r="F142" s="88"/>
      <c r="G142" s="88"/>
      <c r="H142" s="78"/>
      <c r="I142" s="93"/>
      <c r="J142" s="89"/>
      <c r="K142" s="90"/>
    </row>
    <row r="143" spans="1:11" ht="12.75">
      <c r="A143" s="408" t="s">
        <v>341</v>
      </c>
      <c r="B143" s="394"/>
      <c r="C143" s="118" t="s">
        <v>89</v>
      </c>
      <c r="D143" s="119">
        <f>D125*D132</f>
        <v>41145.458147200006</v>
      </c>
      <c r="E143" s="92" t="s">
        <v>346</v>
      </c>
      <c r="F143" s="88"/>
      <c r="G143" s="88"/>
      <c r="H143" s="78"/>
      <c r="I143" s="93"/>
      <c r="J143" s="89"/>
      <c r="K143" s="90"/>
    </row>
    <row r="144" spans="1:11" ht="12.75">
      <c r="A144" s="109" t="s">
        <v>300</v>
      </c>
      <c r="B144" s="267"/>
      <c r="C144" s="118"/>
      <c r="D144" s="119">
        <f>'Calculs détaillés'!AA66</f>
        <v>743362.8318584084</v>
      </c>
      <c r="E144" s="92" t="s">
        <v>314</v>
      </c>
      <c r="F144" s="88"/>
      <c r="G144" s="88"/>
      <c r="H144" s="78"/>
      <c r="I144" s="93"/>
      <c r="J144" s="89"/>
      <c r="K144" s="90"/>
    </row>
    <row r="145" spans="1:11" ht="12.75">
      <c r="A145" s="109" t="s">
        <v>301</v>
      </c>
      <c r="B145" s="267"/>
      <c r="C145" s="118"/>
      <c r="D145" s="119">
        <f>'Calculs détaillés'!AB66</f>
        <v>48967.551622419</v>
      </c>
      <c r="E145" s="92" t="s">
        <v>315</v>
      </c>
      <c r="F145" s="88"/>
      <c r="G145" s="88"/>
      <c r="H145" s="78"/>
      <c r="I145" s="93"/>
      <c r="J145" s="89"/>
      <c r="K145" s="90"/>
    </row>
    <row r="146" spans="1:11" ht="12.75">
      <c r="A146" s="109" t="s">
        <v>302</v>
      </c>
      <c r="B146" s="267"/>
      <c r="C146" s="118"/>
      <c r="D146" s="119">
        <f>'Calculs détaillés'!AC66</f>
        <v>48967.551622419</v>
      </c>
      <c r="E146" s="92" t="s">
        <v>316</v>
      </c>
      <c r="F146" s="88"/>
      <c r="G146" s="88"/>
      <c r="H146" s="78"/>
      <c r="I146" s="93"/>
      <c r="J146" s="89"/>
      <c r="K146" s="90"/>
    </row>
    <row r="147" spans="1:11" ht="12.75">
      <c r="A147" s="109" t="s">
        <v>259</v>
      </c>
      <c r="B147" s="267"/>
      <c r="C147" s="118"/>
      <c r="D147" s="119">
        <f>'Calculs détaillés'!AD66</f>
        <v>339922.1238938059</v>
      </c>
      <c r="E147" s="92" t="s">
        <v>57</v>
      </c>
      <c r="F147" s="88"/>
      <c r="G147" s="88"/>
      <c r="H147" s="78"/>
      <c r="I147" s="93"/>
      <c r="J147" s="89"/>
      <c r="K147" s="90"/>
    </row>
    <row r="148" spans="1:11" ht="12.75">
      <c r="A148" s="109" t="s">
        <v>303</v>
      </c>
      <c r="B148" s="267"/>
      <c r="C148" s="118"/>
      <c r="D148" s="119">
        <f>'Calculs détaillés'!AE66</f>
        <v>12550.498217427743</v>
      </c>
      <c r="E148" s="92" t="s">
        <v>350</v>
      </c>
      <c r="F148" s="88"/>
      <c r="G148" s="88"/>
      <c r="H148" s="78"/>
      <c r="I148" s="93"/>
      <c r="J148" s="89"/>
      <c r="K148" s="90"/>
    </row>
    <row r="149" spans="1:11" ht="12.75">
      <c r="A149" s="40" t="s">
        <v>147</v>
      </c>
      <c r="B149" s="41"/>
      <c r="C149" s="144" t="s">
        <v>89</v>
      </c>
      <c r="D149" s="120">
        <f>SUM(D140:D148)</f>
        <v>4825241.005380844</v>
      </c>
      <c r="E149" s="92" t="s">
        <v>387</v>
      </c>
      <c r="F149" s="88"/>
      <c r="G149" s="88"/>
      <c r="H149" s="78"/>
      <c r="I149" s="93"/>
      <c r="J149" s="89"/>
      <c r="K149" s="90"/>
    </row>
    <row r="150" spans="1:11" ht="12.75">
      <c r="A150" s="134" t="s">
        <v>89</v>
      </c>
      <c r="B150" s="146"/>
      <c r="C150" s="135"/>
      <c r="D150" s="147"/>
      <c r="E150" s="112" t="s">
        <v>148</v>
      </c>
      <c r="F150" s="113"/>
      <c r="G150" s="113"/>
      <c r="H150" s="84"/>
      <c r="I150" s="94"/>
      <c r="J150" s="95"/>
      <c r="K150" s="96"/>
    </row>
    <row r="151" spans="1:11" ht="12.75">
      <c r="A151" s="109" t="s">
        <v>166</v>
      </c>
      <c r="B151" s="13"/>
      <c r="C151" s="122">
        <f>'Calculs détaillés'!C66</f>
        <v>2766359.504424785</v>
      </c>
      <c r="D151" s="192" t="s">
        <v>89</v>
      </c>
      <c r="E151" s="92" t="s">
        <v>388</v>
      </c>
      <c r="F151" s="88"/>
      <c r="G151" s="88"/>
      <c r="H151" s="78"/>
      <c r="I151" s="93"/>
      <c r="J151" s="89"/>
      <c r="K151" s="90"/>
    </row>
    <row r="152" spans="1:11" ht="13.5" customHeight="1">
      <c r="A152" s="406" t="s">
        <v>182</v>
      </c>
      <c r="B152" s="407"/>
      <c r="C152" s="123">
        <f>'Calculs détaillés'!F66</f>
        <v>15732.546705998078</v>
      </c>
      <c r="D152" s="192" t="s">
        <v>89</v>
      </c>
      <c r="E152" s="92" t="s">
        <v>70</v>
      </c>
      <c r="F152" s="88"/>
      <c r="G152" s="88"/>
      <c r="H152" s="78"/>
      <c r="I152" s="93"/>
      <c r="J152" s="89"/>
      <c r="K152" s="90"/>
    </row>
    <row r="153" spans="1:11" ht="12.75">
      <c r="A153" s="109" t="s">
        <v>135</v>
      </c>
      <c r="B153" s="13"/>
      <c r="C153" s="122">
        <f>C151*(D130+D131)*-1</f>
        <v>-82990.78513274353</v>
      </c>
      <c r="D153" s="192" t="s">
        <v>89</v>
      </c>
      <c r="E153" s="92" t="s">
        <v>58</v>
      </c>
      <c r="F153" s="88"/>
      <c r="G153" s="88"/>
      <c r="H153" s="78"/>
      <c r="I153" s="93"/>
      <c r="J153" s="89"/>
      <c r="K153" s="90"/>
    </row>
    <row r="154" spans="1:11" ht="12.75">
      <c r="A154" s="40" t="s">
        <v>144</v>
      </c>
      <c r="B154" s="41"/>
      <c r="C154" s="136">
        <f>SUM(C151:C153)</f>
        <v>2699101.2659980394</v>
      </c>
      <c r="D154" s="191" t="s">
        <v>89</v>
      </c>
      <c r="E154" s="92" t="s">
        <v>186</v>
      </c>
      <c r="F154" s="88"/>
      <c r="G154" s="88"/>
      <c r="H154" s="78"/>
      <c r="I154" s="93"/>
      <c r="J154" s="89"/>
      <c r="K154" s="90"/>
    </row>
    <row r="155" spans="1:11" ht="12.75">
      <c r="A155" s="130"/>
      <c r="B155" s="131"/>
      <c r="C155" s="133"/>
      <c r="D155" s="132"/>
      <c r="E155" s="112" t="s">
        <v>151</v>
      </c>
      <c r="F155" s="166"/>
      <c r="G155" s="166"/>
      <c r="H155" s="84"/>
      <c r="I155" s="94"/>
      <c r="J155" s="95"/>
      <c r="K155" s="96"/>
    </row>
    <row r="156" spans="1:11" ht="12.75">
      <c r="A156" s="35" t="s">
        <v>183</v>
      </c>
      <c r="B156" s="13"/>
      <c r="C156" s="118"/>
      <c r="D156" s="120">
        <f>D149-C154</f>
        <v>2126139.7393828044</v>
      </c>
      <c r="E156" s="92" t="s">
        <v>351</v>
      </c>
      <c r="F156" s="88"/>
      <c r="G156" s="88"/>
      <c r="H156" s="78"/>
      <c r="I156" s="93"/>
      <c r="J156" s="287" t="s">
        <v>89</v>
      </c>
      <c r="K156" s="288" t="s">
        <v>76</v>
      </c>
    </row>
    <row r="157" spans="1:11" ht="12.75">
      <c r="A157" s="35" t="s">
        <v>95</v>
      </c>
      <c r="B157" s="13"/>
      <c r="C157" s="118"/>
      <c r="D157" s="120">
        <f>'Calculs détaillés'!AR66</f>
        <v>104618.46443555513</v>
      </c>
      <c r="E157" s="92" t="s">
        <v>332</v>
      </c>
      <c r="F157" s="88"/>
      <c r="G157" s="88"/>
      <c r="H157" s="78"/>
      <c r="I157" s="93"/>
      <c r="J157" s="224">
        <f>D124</f>
        <v>0.0275</v>
      </c>
      <c r="K157" s="453">
        <f>G107</f>
        <v>40</v>
      </c>
    </row>
    <row r="158" spans="1:11" ht="12.75">
      <c r="A158" s="40" t="s">
        <v>96</v>
      </c>
      <c r="B158" s="41"/>
      <c r="C158" s="121"/>
      <c r="D158" s="120">
        <f>D156+D157</f>
        <v>2230758.2038183594</v>
      </c>
      <c r="E158" s="92" t="s">
        <v>89</v>
      </c>
      <c r="F158" s="88"/>
      <c r="G158" s="88"/>
      <c r="H158" s="78"/>
      <c r="I158" s="93"/>
      <c r="J158" s="89"/>
      <c r="K158" s="90" t="s">
        <v>185</v>
      </c>
    </row>
    <row r="159" spans="1:11" ht="12.75">
      <c r="A159" s="134"/>
      <c r="B159" s="131"/>
      <c r="C159" s="135"/>
      <c r="D159" s="132"/>
      <c r="E159" s="112" t="s">
        <v>154</v>
      </c>
      <c r="F159" s="166"/>
      <c r="G159" s="166"/>
      <c r="H159" s="84"/>
      <c r="I159" s="94"/>
      <c r="J159" s="95"/>
      <c r="K159" s="96"/>
    </row>
    <row r="160" spans="1:11" ht="12.75">
      <c r="A160" s="35" t="s">
        <v>129</v>
      </c>
      <c r="B160" s="13"/>
      <c r="C160" s="118"/>
      <c r="D160" s="120"/>
      <c r="E160" s="112" t="s">
        <v>389</v>
      </c>
      <c r="F160" s="113"/>
      <c r="G160" s="113"/>
      <c r="H160" s="149"/>
      <c r="I160" s="150"/>
      <c r="J160" s="151"/>
      <c r="K160" s="152"/>
    </row>
    <row r="161" spans="1:11" ht="12.75">
      <c r="A161" s="114" t="s">
        <v>133</v>
      </c>
      <c r="B161" s="115"/>
      <c r="C161" s="123">
        <f>D104</f>
        <v>254353</v>
      </c>
      <c r="D161" s="366">
        <f>C161/C167</f>
        <v>0.27477829717573365</v>
      </c>
      <c r="E161" s="92" t="s">
        <v>184</v>
      </c>
      <c r="F161" s="88"/>
      <c r="G161" s="88"/>
      <c r="H161" s="78"/>
      <c r="I161" s="93"/>
      <c r="J161" s="89"/>
      <c r="K161" s="90"/>
    </row>
    <row r="162" spans="1:11" ht="12.75">
      <c r="A162" s="114" t="s">
        <v>55</v>
      </c>
      <c r="B162" s="115"/>
      <c r="C162" s="122">
        <f>'Calculs détaillés'!AK66</f>
        <v>195455.22123893836</v>
      </c>
      <c r="D162" s="366">
        <f>C162/C167</f>
        <v>0.2111508528153463</v>
      </c>
      <c r="E162" s="92" t="s">
        <v>352</v>
      </c>
      <c r="F162" s="88"/>
      <c r="G162" s="88"/>
      <c r="H162" s="78"/>
      <c r="I162" s="93"/>
      <c r="J162" s="89"/>
      <c r="K162" s="90"/>
    </row>
    <row r="163" spans="1:11" ht="12.75">
      <c r="A163" s="225" t="s">
        <v>181</v>
      </c>
      <c r="C163" s="328">
        <f>'Calculs détaillés'!AI66</f>
        <v>252831.14106000005</v>
      </c>
      <c r="D163" s="367">
        <f>C163/C167</f>
        <v>0.2731342284677772</v>
      </c>
      <c r="E163" s="92" t="s">
        <v>321</v>
      </c>
      <c r="F163" s="226"/>
      <c r="G163" s="226"/>
      <c r="H163" s="226"/>
      <c r="I163" s="226"/>
      <c r="J163" s="226"/>
      <c r="K163" s="8"/>
    </row>
    <row r="164" spans="1:11" ht="12.75">
      <c r="A164" s="114" t="s">
        <v>78</v>
      </c>
      <c r="B164" s="115"/>
      <c r="C164" s="122">
        <f>'Calculs détaillés'!AM66</f>
        <v>192026.90252011045</v>
      </c>
      <c r="D164" s="366">
        <f>C164/C167</f>
        <v>0.20744722997726212</v>
      </c>
      <c r="E164" s="92" t="s">
        <v>8</v>
      </c>
      <c r="F164" s="88"/>
      <c r="G164" s="88"/>
      <c r="H164" s="78"/>
      <c r="I164" s="93"/>
      <c r="J164" s="89"/>
      <c r="K164" s="90"/>
    </row>
    <row r="165" spans="1:11" ht="12.75">
      <c r="A165" s="114" t="s">
        <v>79</v>
      </c>
      <c r="B165" s="115"/>
      <c r="C165" s="123">
        <f>D120</f>
        <v>31000</v>
      </c>
      <c r="D165" s="366">
        <f>C165/C167</f>
        <v>0.033489391563880685</v>
      </c>
      <c r="E165" s="81" t="s">
        <v>244</v>
      </c>
      <c r="F165" s="79"/>
      <c r="G165" s="79"/>
      <c r="H165" s="54"/>
      <c r="I165" s="82"/>
      <c r="J165" s="80"/>
      <c r="K165" s="91"/>
    </row>
    <row r="166" spans="1:11" ht="12.75">
      <c r="A166" s="114" t="s">
        <v>328</v>
      </c>
      <c r="B166" s="115"/>
      <c r="C166" s="123">
        <f>'Calculs détaillés'!AP66</f>
        <v>0</v>
      </c>
      <c r="D166" s="366">
        <f>C166/C167</f>
        <v>0</v>
      </c>
      <c r="E166" s="81" t="s">
        <v>322</v>
      </c>
      <c r="F166" s="79"/>
      <c r="G166" s="79"/>
      <c r="H166" s="54"/>
      <c r="I166" s="82"/>
      <c r="J166" s="80"/>
      <c r="K166" s="91"/>
    </row>
    <row r="167" spans="1:11" ht="12.75">
      <c r="A167" s="40" t="s">
        <v>91</v>
      </c>
      <c r="B167" s="41"/>
      <c r="C167" s="145">
        <f>SUM(C161:C166)</f>
        <v>925666.2648190489</v>
      </c>
      <c r="D167" s="366">
        <f>SUM(D161:D166)</f>
        <v>0.9999999999999999</v>
      </c>
      <c r="E167" s="81"/>
      <c r="F167" s="79"/>
      <c r="G167" s="79"/>
      <c r="H167" s="54"/>
      <c r="I167" s="82"/>
      <c r="J167" s="80"/>
      <c r="K167" s="91"/>
    </row>
    <row r="168" spans="1:11" ht="13.5" thickBot="1">
      <c r="A168" s="134" t="s">
        <v>89</v>
      </c>
      <c r="B168" s="131"/>
      <c r="C168" s="221"/>
      <c r="D168" s="222"/>
      <c r="E168" s="167" t="s">
        <v>179</v>
      </c>
      <c r="F168" s="168"/>
      <c r="G168" s="168"/>
      <c r="H168" s="169"/>
      <c r="I168" s="170"/>
      <c r="J168" s="171"/>
      <c r="K168" s="172"/>
    </row>
    <row r="169" spans="1:11" ht="12.75">
      <c r="A169" s="35" t="s">
        <v>146</v>
      </c>
      <c r="B169" s="13"/>
      <c r="C169" s="154"/>
      <c r="D169" s="220">
        <f>D158-C167</f>
        <v>1305091.9389993106</v>
      </c>
      <c r="E169" s="81" t="s">
        <v>390</v>
      </c>
      <c r="F169" s="79"/>
      <c r="G169" s="79"/>
      <c r="H169" s="54"/>
      <c r="I169" s="82"/>
      <c r="J169" s="80"/>
      <c r="K169" s="57"/>
    </row>
    <row r="170" spans="1:11" ht="13.5" thickBot="1">
      <c r="A170" s="35"/>
      <c r="B170" s="13"/>
      <c r="C170" s="154"/>
      <c r="D170" s="155"/>
      <c r="E170" s="81" t="s">
        <v>243</v>
      </c>
      <c r="F170" s="79"/>
      <c r="G170" s="79"/>
      <c r="H170" s="54"/>
      <c r="I170" s="82"/>
      <c r="J170" s="80"/>
      <c r="K170" s="57"/>
    </row>
    <row r="171" spans="1:11" ht="13.5" thickBot="1">
      <c r="A171" s="35"/>
      <c r="B171" s="13"/>
      <c r="C171" s="10"/>
      <c r="D171" s="83"/>
      <c r="E171" s="81" t="s">
        <v>153</v>
      </c>
      <c r="F171" s="53"/>
      <c r="G171" s="53"/>
      <c r="H171" s="54"/>
      <c r="I171" s="55"/>
      <c r="J171" s="56"/>
      <c r="K171" s="157">
        <f>'Calculs détaillés'!AQ59</f>
        <v>2615.4875768939305</v>
      </c>
    </row>
    <row r="172" spans="1:11" ht="13.5" thickBot="1">
      <c r="A172" s="35" t="s">
        <v>143</v>
      </c>
      <c r="B172" s="13"/>
      <c r="C172" s="154"/>
      <c r="D172" s="158">
        <f>C167/D158</f>
        <v>0.41495589402499927</v>
      </c>
      <c r="E172" s="81" t="s">
        <v>239</v>
      </c>
      <c r="F172" s="79"/>
      <c r="G172" s="79"/>
      <c r="H172" s="54"/>
      <c r="I172" s="82"/>
      <c r="J172" s="80"/>
      <c r="K172" s="91"/>
    </row>
    <row r="173" spans="1:11" ht="13.5" thickBot="1">
      <c r="A173" s="35" t="s">
        <v>138</v>
      </c>
      <c r="B173" s="13"/>
      <c r="C173" s="154"/>
      <c r="D173" s="158">
        <f>D97/D158</f>
        <v>0.033620855846959785</v>
      </c>
      <c r="E173" s="81" t="s">
        <v>80</v>
      </c>
      <c r="F173" s="79"/>
      <c r="G173" s="79"/>
      <c r="H173" s="54"/>
      <c r="I173" s="82"/>
      <c r="J173" s="80"/>
      <c r="K173" s="91"/>
    </row>
    <row r="174" spans="1:11" ht="13.5" thickBot="1">
      <c r="A174" s="35" t="s">
        <v>237</v>
      </c>
      <c r="B174" s="13"/>
      <c r="C174" s="154"/>
      <c r="D174" s="158">
        <f>D97/C167</f>
        <v>0.08102272152551779</v>
      </c>
      <c r="E174" s="81" t="s">
        <v>238</v>
      </c>
      <c r="F174" s="79"/>
      <c r="G174" s="79"/>
      <c r="H174" s="54"/>
      <c r="I174" s="82"/>
      <c r="J174" s="80"/>
      <c r="K174" s="91"/>
    </row>
    <row r="175" spans="1:11" ht="12.75">
      <c r="A175" s="265" t="s">
        <v>93</v>
      </c>
      <c r="B175" s="13"/>
      <c r="C175" s="10"/>
      <c r="D175" s="77"/>
      <c r="E175" s="124"/>
      <c r="F175" s="125"/>
      <c r="G175" s="125"/>
      <c r="H175" s="126"/>
      <c r="I175" s="127"/>
      <c r="J175" s="128"/>
      <c r="K175" s="129"/>
    </row>
    <row r="176" spans="1:5" ht="12.75">
      <c r="A176" s="1" t="s">
        <v>277</v>
      </c>
      <c r="B176" s="1"/>
      <c r="C176" s="1"/>
      <c r="D176" s="1"/>
      <c r="E176" s="1"/>
    </row>
    <row r="177" spans="1:12" ht="12.75">
      <c r="A177" s="50" t="s">
        <v>89</v>
      </c>
      <c r="B177" s="50"/>
      <c r="C177" s="50"/>
      <c r="D177" s="50" t="s">
        <v>89</v>
      </c>
      <c r="E177" s="60" t="s">
        <v>89</v>
      </c>
      <c r="F177" s="60"/>
      <c r="G177" s="60"/>
      <c r="H177" s="60"/>
      <c r="I177" s="60"/>
      <c r="J177" s="50"/>
      <c r="K177" s="50"/>
      <c r="L177" s="15"/>
    </row>
    <row r="178" spans="1:12" ht="12.75">
      <c r="A178" s="50" t="s">
        <v>89</v>
      </c>
      <c r="B178" s="50"/>
      <c r="C178" s="50"/>
      <c r="D178" s="50" t="s">
        <v>89</v>
      </c>
      <c r="E178" s="60" t="s">
        <v>89</v>
      </c>
      <c r="F178" s="60"/>
      <c r="G178" s="60"/>
      <c r="H178" s="60"/>
      <c r="I178" s="60"/>
      <c r="J178" s="50"/>
      <c r="K178" s="50"/>
      <c r="L178" s="15"/>
    </row>
    <row r="179" spans="1:11" ht="12.75">
      <c r="A179" s="44" t="s">
        <v>89</v>
      </c>
      <c r="B179" s="44"/>
      <c r="C179" s="44"/>
      <c r="D179" s="44" t="s">
        <v>89</v>
      </c>
      <c r="E179" s="50"/>
      <c r="F179" s="50"/>
      <c r="G179" s="50"/>
      <c r="H179" s="50"/>
      <c r="I179" s="50"/>
      <c r="J179" s="50"/>
      <c r="K179" s="50"/>
    </row>
    <row r="180" spans="1:11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</row>
  </sheetData>
  <sheetProtection/>
  <mergeCells count="16">
    <mergeCell ref="A152:B152"/>
    <mergeCell ref="A143:B143"/>
    <mergeCell ref="C47:K47"/>
    <mergeCell ref="A61:C61"/>
    <mergeCell ref="E61:K61"/>
    <mergeCell ref="E119:J119"/>
    <mergeCell ref="E67:I67"/>
    <mergeCell ref="A142:B142"/>
    <mergeCell ref="E123:I123"/>
    <mergeCell ref="A122:B122"/>
    <mergeCell ref="A2:K2"/>
    <mergeCell ref="A4:K4"/>
    <mergeCell ref="E84:J84"/>
    <mergeCell ref="E85:J85"/>
    <mergeCell ref="C44:K44"/>
    <mergeCell ref="C45:K45"/>
  </mergeCells>
  <hyperlinks>
    <hyperlink ref="C51" r:id="rId1" display="Question"/>
    <hyperlink ref="H53" r:id="rId2" display="Question"/>
    <hyperlink ref="E123" r:id="rId3" display="TMO (voir le site du Trésor)"/>
    <hyperlink ref="C13" r:id="rId4" display="2012/21/UE"/>
    <hyperlink ref="C8" r:id="rId5" display="106.2"/>
    <hyperlink ref="C53" r:id="rId6" display="Question"/>
    <hyperlink ref="J94" r:id="rId7" display="Question"/>
    <hyperlink ref="F135" r:id="rId8" display="Question"/>
    <hyperlink ref="A175" r:id="rId9" display="Question"/>
    <hyperlink ref="J123" r:id="rId10" display="Question"/>
    <hyperlink ref="C25" r:id="rId11" display="CCH"/>
    <hyperlink ref="C27" r:id="rId12" display="CUS"/>
    <hyperlink ref="C28" r:id="rId13" display="Convention APL"/>
    <hyperlink ref="C26" r:id="rId14" display="SIEG"/>
    <hyperlink ref="C29" r:id="rId15" display="Mandat OHLM"/>
    <hyperlink ref="K85" r:id="rId16" display="Note DHUP 281211"/>
    <hyperlink ref="K87" r:id="rId17" display="Note DHUP 281211"/>
    <hyperlink ref="K88" r:id="rId18" display="Note DHUP 281211"/>
    <hyperlink ref="K124" r:id="rId19" display="Note DHUP 281211"/>
    <hyperlink ref="K129" r:id="rId20" display="Note DHUP 281211"/>
    <hyperlink ref="K130" r:id="rId21" display="Note DHUP 281211"/>
    <hyperlink ref="K131" r:id="rId22" display="Note DHUP 281211"/>
    <hyperlink ref="K132" r:id="rId23" display="Note DHUP 281211"/>
    <hyperlink ref="C15" r:id="rId24" display="2005/842/CE"/>
  </hyperlinks>
  <printOptions/>
  <pageMargins left="0.1968503937007874" right="0.1968503937007874" top="0.7874015748031497" bottom="0.7874015748031497" header="0.3937007874015748" footer="0.3937007874015748"/>
  <pageSetup horizontalDpi="600" verticalDpi="600" orientation="landscape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2"/>
  <sheetViews>
    <sheetView zoomScalePageLayoutView="0" workbookViewId="0" topLeftCell="AI49">
      <selection activeCell="AR73" sqref="AR73"/>
    </sheetView>
  </sheetViews>
  <sheetFormatPr defaultColWidth="11.421875" defaultRowHeight="12.75"/>
  <cols>
    <col min="1" max="2" width="10.28125" style="0" customWidth="1"/>
    <col min="3" max="3" width="10.00390625" style="0" customWidth="1"/>
    <col min="4" max="4" width="10.28125" style="0" customWidth="1"/>
    <col min="5" max="6" width="8.8515625" style="0" customWidth="1"/>
    <col min="7" max="7" width="10.7109375" style="0" customWidth="1"/>
    <col min="8" max="9" width="10.421875" style="0" customWidth="1"/>
    <col min="10" max="11" width="10.140625" style="0" customWidth="1"/>
    <col min="12" max="15" width="9.28125" style="0" customWidth="1"/>
    <col min="16" max="16" width="10.421875" style="0" customWidth="1"/>
    <col min="18" max="19" width="9.7109375" style="0" customWidth="1"/>
    <col min="20" max="21" width="10.57421875" style="0" customWidth="1"/>
    <col min="22" max="42" width="9.7109375" style="0" customWidth="1"/>
    <col min="43" max="43" width="12.28125" style="0" customWidth="1"/>
    <col min="44" max="45" width="9.7109375" style="0" customWidth="1"/>
    <col min="46" max="46" width="11.00390625" style="0" customWidth="1"/>
  </cols>
  <sheetData>
    <row r="1" spans="1:17" ht="13.5" thickBot="1">
      <c r="A1" s="452" t="s">
        <v>256</v>
      </c>
      <c r="B1" s="36"/>
      <c r="C1" s="43"/>
      <c r="D1" s="43"/>
      <c r="E1" s="43"/>
      <c r="F1" s="43"/>
      <c r="G1" s="266" t="s">
        <v>93</v>
      </c>
      <c r="H1" s="43"/>
      <c r="I1" s="43"/>
      <c r="J1" s="43"/>
      <c r="K1" s="43"/>
      <c r="L1" s="43"/>
      <c r="M1" s="43"/>
      <c r="N1" s="23" t="s">
        <v>89</v>
      </c>
      <c r="O1" s="183"/>
      <c r="P1" s="43"/>
      <c r="Q1" s="43"/>
    </row>
    <row r="2" spans="1:17" ht="12.75">
      <c r="A2" s="46" t="s">
        <v>108</v>
      </c>
      <c r="B2" s="46"/>
      <c r="C2" s="1"/>
      <c r="D2" s="47">
        <f>'Test de compensation'!D129</f>
        <v>0.017</v>
      </c>
      <c r="E2" s="137">
        <f>'Test de compensation'!D87+'Test de compensation'!D88</f>
        <v>0.03</v>
      </c>
      <c r="F2" s="137"/>
      <c r="G2" s="1"/>
      <c r="H2" s="1" t="s">
        <v>136</v>
      </c>
      <c r="I2" s="1"/>
      <c r="J2" s="48">
        <f>'Test de compensation'!D114</f>
        <v>1550000</v>
      </c>
      <c r="K2" s="48"/>
      <c r="L2" s="1"/>
      <c r="M2" s="1"/>
      <c r="N2" s="1"/>
      <c r="O2" s="1"/>
      <c r="P2" s="1"/>
      <c r="Q2" s="1"/>
    </row>
    <row r="3" spans="1:17" ht="13.5" thickBot="1">
      <c r="A3" s="46"/>
      <c r="B3" s="46"/>
      <c r="C3" s="1"/>
      <c r="D3" s="47"/>
      <c r="E3" s="137"/>
      <c r="F3" s="137"/>
      <c r="G3" s="1"/>
      <c r="H3" s="1" t="s">
        <v>171</v>
      </c>
      <c r="I3" s="1"/>
      <c r="J3" s="48">
        <f>'Test de compensation'!G107</f>
        <v>40</v>
      </c>
      <c r="K3" s="48"/>
      <c r="L3" s="1" t="s">
        <v>180</v>
      </c>
      <c r="M3" s="1"/>
      <c r="N3" s="227">
        <f>'Test de compensation'!K157</f>
        <v>40</v>
      </c>
      <c r="O3" s="1"/>
      <c r="P3" s="1"/>
      <c r="Q3" s="1"/>
    </row>
    <row r="4" spans="1:46" ht="13.5" thickBot="1">
      <c r="A4" s="418" t="s">
        <v>333</v>
      </c>
      <c r="B4" s="419"/>
      <c r="C4" s="387" t="s">
        <v>131</v>
      </c>
      <c r="D4" s="379"/>
      <c r="E4" s="379"/>
      <c r="F4" s="379"/>
      <c r="G4" s="380"/>
      <c r="H4" s="387" t="s">
        <v>130</v>
      </c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80"/>
      <c r="AH4" s="387" t="s">
        <v>161</v>
      </c>
      <c r="AI4" s="417"/>
      <c r="AJ4" s="417"/>
      <c r="AK4" s="417"/>
      <c r="AL4" s="417"/>
      <c r="AM4" s="417"/>
      <c r="AN4" s="423"/>
      <c r="AO4" s="423"/>
      <c r="AP4" s="423"/>
      <c r="AQ4" s="423"/>
      <c r="AR4" s="317" t="s">
        <v>162</v>
      </c>
      <c r="AS4" s="317" t="s">
        <v>164</v>
      </c>
      <c r="AT4" s="216" t="s">
        <v>163</v>
      </c>
    </row>
    <row r="5" spans="1:46" ht="31.5" thickBot="1">
      <c r="A5" s="394"/>
      <c r="B5" s="420"/>
      <c r="C5" s="184" t="s">
        <v>166</v>
      </c>
      <c r="D5" s="383" t="s">
        <v>310</v>
      </c>
      <c r="E5" s="417"/>
      <c r="F5" s="185" t="s">
        <v>217</v>
      </c>
      <c r="G5" s="216" t="s">
        <v>281</v>
      </c>
      <c r="H5" s="381" t="s">
        <v>156</v>
      </c>
      <c r="I5" s="382"/>
      <c r="J5" s="431" t="s">
        <v>31</v>
      </c>
      <c r="K5" s="432"/>
      <c r="L5" s="421" t="s">
        <v>312</v>
      </c>
      <c r="M5" s="433"/>
      <c r="N5" s="421" t="s">
        <v>157</v>
      </c>
      <c r="O5" s="422"/>
      <c r="P5" s="387" t="s">
        <v>158</v>
      </c>
      <c r="Q5" s="434"/>
      <c r="R5" s="435"/>
      <c r="S5" s="186" t="s">
        <v>159</v>
      </c>
      <c r="T5" s="421" t="s">
        <v>160</v>
      </c>
      <c r="U5" s="422"/>
      <c r="V5" s="421" t="s">
        <v>335</v>
      </c>
      <c r="W5" s="417"/>
      <c r="X5" s="417"/>
      <c r="Y5" s="417"/>
      <c r="Z5" s="422"/>
      <c r="AA5" s="428" t="s">
        <v>313</v>
      </c>
      <c r="AB5" s="429"/>
      <c r="AC5" s="430"/>
      <c r="AD5" s="350"/>
      <c r="AE5" s="350"/>
      <c r="AF5" s="216" t="s">
        <v>274</v>
      </c>
      <c r="AG5" s="216" t="s">
        <v>275</v>
      </c>
      <c r="AH5" s="297" t="s">
        <v>172</v>
      </c>
      <c r="AI5" s="298" t="s">
        <v>258</v>
      </c>
      <c r="AJ5" s="421" t="s">
        <v>259</v>
      </c>
      <c r="AK5" s="422"/>
      <c r="AL5" s="299" t="s">
        <v>260</v>
      </c>
      <c r="AM5" s="320" t="s">
        <v>261</v>
      </c>
      <c r="AN5" s="436" t="s">
        <v>325</v>
      </c>
      <c r="AO5" s="437"/>
      <c r="AP5" s="437"/>
      <c r="AQ5" s="324" t="s">
        <v>276</v>
      </c>
      <c r="AR5" s="327"/>
      <c r="AS5" s="327"/>
      <c r="AT5" s="326"/>
    </row>
    <row r="6" spans="1:47" ht="42" thickBot="1">
      <c r="A6" s="51" t="s">
        <v>106</v>
      </c>
      <c r="B6" s="331" t="s">
        <v>282</v>
      </c>
      <c r="C6" s="344" t="s">
        <v>309</v>
      </c>
      <c r="D6" s="331" t="s">
        <v>126</v>
      </c>
      <c r="E6" s="331" t="s">
        <v>308</v>
      </c>
      <c r="F6" s="52" t="s">
        <v>30</v>
      </c>
      <c r="G6" s="329" t="s">
        <v>311</v>
      </c>
      <c r="H6" s="52" t="s">
        <v>168</v>
      </c>
      <c r="I6" s="52" t="s">
        <v>169</v>
      </c>
      <c r="J6" s="52" t="s">
        <v>168</v>
      </c>
      <c r="K6" s="52" t="s">
        <v>169</v>
      </c>
      <c r="L6" s="52" t="s">
        <v>168</v>
      </c>
      <c r="M6" s="52" t="s">
        <v>169</v>
      </c>
      <c r="N6" s="52" t="s">
        <v>168</v>
      </c>
      <c r="O6" s="52" t="s">
        <v>169</v>
      </c>
      <c r="P6" s="143" t="s">
        <v>168</v>
      </c>
      <c r="Q6" s="188" t="s">
        <v>169</v>
      </c>
      <c r="R6" s="177" t="s">
        <v>170</v>
      </c>
      <c r="S6" s="187" t="s">
        <v>334</v>
      </c>
      <c r="T6" s="175" t="s">
        <v>319</v>
      </c>
      <c r="U6" s="321" t="s">
        <v>347</v>
      </c>
      <c r="V6" s="351" t="s">
        <v>340</v>
      </c>
      <c r="W6" s="351" t="s">
        <v>336</v>
      </c>
      <c r="X6" s="351" t="s">
        <v>337</v>
      </c>
      <c r="Y6" s="351" t="s">
        <v>338</v>
      </c>
      <c r="Z6" s="351" t="s">
        <v>339</v>
      </c>
      <c r="AA6" s="351" t="s">
        <v>290</v>
      </c>
      <c r="AB6" s="351" t="s">
        <v>291</v>
      </c>
      <c r="AC6" s="351" t="s">
        <v>292</v>
      </c>
      <c r="AD6" s="351" t="s">
        <v>259</v>
      </c>
      <c r="AE6" s="351" t="s">
        <v>303</v>
      </c>
      <c r="AF6" s="391" t="s">
        <v>89</v>
      </c>
      <c r="AG6" s="391" t="s">
        <v>89</v>
      </c>
      <c r="AH6" s="187" t="s">
        <v>91</v>
      </c>
      <c r="AI6" s="175" t="s">
        <v>323</v>
      </c>
      <c r="AJ6" s="175" t="s">
        <v>7</v>
      </c>
      <c r="AK6" s="175" t="s">
        <v>324</v>
      </c>
      <c r="AL6" s="175" t="s">
        <v>262</v>
      </c>
      <c r="AM6" s="321" t="s">
        <v>178</v>
      </c>
      <c r="AN6" s="321" t="s">
        <v>326</v>
      </c>
      <c r="AO6" s="321" t="s">
        <v>0</v>
      </c>
      <c r="AP6" s="321" t="s">
        <v>328</v>
      </c>
      <c r="AQ6" s="390" t="s">
        <v>89</v>
      </c>
      <c r="AR6" s="391" t="s">
        <v>89</v>
      </c>
      <c r="AS6" s="325" t="s">
        <v>96</v>
      </c>
      <c r="AT6" s="319" t="s">
        <v>278</v>
      </c>
      <c r="AU6" s="283" t="s">
        <v>89</v>
      </c>
    </row>
    <row r="7" spans="1:47" ht="12.75">
      <c r="A7" s="45">
        <v>1</v>
      </c>
      <c r="B7" s="332">
        <f>D2</f>
        <v>0.017</v>
      </c>
      <c r="C7" s="189">
        <f>'Test de compensation'!D86</f>
        <v>70334.6904</v>
      </c>
      <c r="D7" s="137">
        <v>0.03</v>
      </c>
      <c r="E7" s="44">
        <f>C7*D7*-1</f>
        <v>-2110.040712</v>
      </c>
      <c r="F7" s="44">
        <f>'Test de compensation'!D92</f>
        <v>400</v>
      </c>
      <c r="G7" s="141">
        <f>C7+E7+F7</f>
        <v>68624.649688</v>
      </c>
      <c r="H7" s="44">
        <f>PMT('Test de compensation'!F107,'Test de compensation'!G107,-'Test de compensation'!D107)</f>
        <v>48237.83801833731</v>
      </c>
      <c r="I7" s="44">
        <f>PMT('Test de compensation'!D123,'Test de compensation'!G107,-'Test de compensation'!D107)</f>
        <v>52098.4935567951</v>
      </c>
      <c r="J7" s="44">
        <f>PMT('Test de compensation'!F108,'Test de compensation'!G108,-'Test de compensation'!D108)</f>
        <v>11992.899018836059</v>
      </c>
      <c r="K7" s="44">
        <f>PMT('Test de compensation'!D123,'Test de compensation'!G108,-'Test de compensation'!D108)</f>
        <v>13119.750241432015</v>
      </c>
      <c r="L7" s="44">
        <f>PMT('Test de compensation'!F109,'Test de compensation'!G109,-'Test de compensation'!D109)</f>
        <v>6811.0130100821925</v>
      </c>
      <c r="M7" s="44">
        <f>PMT('Test de compensation'!D123,'Test de compensation'!G109,-'Test de compensation'!D109)</f>
        <v>9190.224641967527</v>
      </c>
      <c r="N7" s="44">
        <f>PMT('Test de compensation'!F110,'Test de compensation'!G110,-'Test de compensation'!D110)</f>
        <v>0</v>
      </c>
      <c r="O7" s="44">
        <f>PMT('Test de compensation'!D123,'Test de compensation'!G110,-'Test de compensation'!D110)</f>
        <v>0</v>
      </c>
      <c r="P7" s="141">
        <f>H7+J7+L7+N7</f>
        <v>67041.75004725557</v>
      </c>
      <c r="Q7" s="140">
        <f>I7+K7+M7+O7</f>
        <v>74408.46844019464</v>
      </c>
      <c r="R7" s="141">
        <f>Q7-P7</f>
        <v>7366.718392939074</v>
      </c>
      <c r="S7" s="347">
        <f>'Test de compensation'!D143</f>
        <v>41145.458147200006</v>
      </c>
      <c r="T7" s="347">
        <f>'Test de compensation'!D67</f>
        <v>1793128.6600000001</v>
      </c>
      <c r="U7" s="347">
        <f>T7*'Test de compensation'!D126</f>
        <v>351453.21736000007</v>
      </c>
      <c r="V7" s="388">
        <f>'Test de compensation'!D123</f>
        <v>0.0359</v>
      </c>
      <c r="W7" s="58">
        <f>PMT('Test de compensation'!D123,'Test de compensation'!G107,-'Test de compensation'!D125)</f>
        <v>97685.763132213</v>
      </c>
      <c r="X7" s="58">
        <f>'Test de compensation'!D125*'Test de compensation'!D123</f>
        <v>73856.09737422402</v>
      </c>
      <c r="Y7" s="58">
        <f>W7-X7</f>
        <v>23829.665757988987</v>
      </c>
      <c r="Z7" s="58">
        <f>'Test de compensation'!D125-'Calculs détaillés'!Y7</f>
        <v>2033443.2416020113</v>
      </c>
      <c r="AA7" s="58">
        <f>'Test de compensation'!D76</f>
        <v>18900</v>
      </c>
      <c r="AB7" s="58">
        <f>'Test de compensation'!D77</f>
        <v>1245</v>
      </c>
      <c r="AC7" s="58">
        <f>'Test de compensation'!D78</f>
        <v>1245</v>
      </c>
      <c r="AD7" s="58">
        <f>'Test de compensation'!D79</f>
        <v>8642.52</v>
      </c>
      <c r="AE7" s="58">
        <f>'Test de compensation'!D80</f>
        <v>435</v>
      </c>
      <c r="AF7" s="217">
        <f>S7+T7+U7+X7+AA7+AB7+AC7+AD7+AE7</f>
        <v>2290050.952881424</v>
      </c>
      <c r="AG7" s="141">
        <f aca="true" t="shared" si="0" ref="AG7:AG46">AF7-G7</f>
        <v>2221426.3031934244</v>
      </c>
      <c r="AH7" s="318">
        <f>'Test de compensation'!D104</f>
        <v>254353</v>
      </c>
      <c r="AI7" s="217">
        <f>U7-(T7*'Test de compensation'!D127)</f>
        <v>252831.14106000005</v>
      </c>
      <c r="AJ7" s="217">
        <f>AD7</f>
        <v>8642.52</v>
      </c>
      <c r="AK7" s="217">
        <f>AJ7-AD7</f>
        <v>0</v>
      </c>
      <c r="AL7" s="217">
        <f>'Test de compensation'!D120</f>
        <v>31000</v>
      </c>
      <c r="AM7" s="322">
        <f>R7</f>
        <v>7366.718392939074</v>
      </c>
      <c r="AN7" s="322">
        <f>'Test de compensation'!I70</f>
        <v>384849.12</v>
      </c>
      <c r="AO7" s="322">
        <f>'Test de compensation'!D70</f>
        <v>384849.12</v>
      </c>
      <c r="AP7" s="322">
        <f>AN7-AO7</f>
        <v>0</v>
      </c>
      <c r="AQ7" s="139">
        <f>AH7+AI7+AK7+AL7+AM7+AP7</f>
        <v>545550.8594529391</v>
      </c>
      <c r="AR7" s="139">
        <f>PMT('Test de compensation'!J157,'Calculs détaillés'!N3,-'Test de compensation'!D105)</f>
        <v>3626.0737415405692</v>
      </c>
      <c r="AS7" s="328" t="s">
        <v>89</v>
      </c>
      <c r="AT7" s="148" t="s">
        <v>89</v>
      </c>
      <c r="AU7" s="44" t="s">
        <v>89</v>
      </c>
    </row>
    <row r="8" spans="1:47" ht="12.75">
      <c r="A8" s="45">
        <v>2</v>
      </c>
      <c r="B8" s="332">
        <f aca="true" t="shared" si="1" ref="B8:B39">B7</f>
        <v>0.017</v>
      </c>
      <c r="C8" s="189">
        <f>C7+(C7*B8)</f>
        <v>71530.38013680001</v>
      </c>
      <c r="D8" s="137">
        <v>0.03</v>
      </c>
      <c r="E8" s="44">
        <f aca="true" t="shared" si="2" ref="E8:E46">C8*D8*-1</f>
        <v>-2145.911404104</v>
      </c>
      <c r="F8" s="44">
        <f>F7+(F7*B8)</f>
        <v>406.8</v>
      </c>
      <c r="G8" s="141">
        <f aca="true" t="shared" si="3" ref="G8:G56">C8+E8+F8</f>
        <v>69791.26873269601</v>
      </c>
      <c r="H8" s="44">
        <f>H7</f>
        <v>48237.83801833731</v>
      </c>
      <c r="I8" s="44">
        <f aca="true" t="shared" si="4" ref="I8:O23">I7</f>
        <v>52098.4935567951</v>
      </c>
      <c r="J8" s="44">
        <f t="shared" si="4"/>
        <v>11992.899018836059</v>
      </c>
      <c r="K8" s="44">
        <f t="shared" si="4"/>
        <v>13119.750241432015</v>
      </c>
      <c r="L8" s="44">
        <f t="shared" si="4"/>
        <v>6811.0130100821925</v>
      </c>
      <c r="M8" s="44">
        <f t="shared" si="4"/>
        <v>9190.224641967527</v>
      </c>
      <c r="N8" s="44">
        <f t="shared" si="4"/>
        <v>0</v>
      </c>
      <c r="O8" s="44">
        <f t="shared" si="4"/>
        <v>0</v>
      </c>
      <c r="P8" s="141">
        <f aca="true" t="shared" si="5" ref="P8:P56">H8+J8+L8+N8</f>
        <v>67041.75004725557</v>
      </c>
      <c r="Q8" s="140">
        <f aca="true" t="shared" si="6" ref="Q8:Q56">I8+K8+M8+O8</f>
        <v>74408.46844019464</v>
      </c>
      <c r="R8" s="141">
        <f aca="true" t="shared" si="7" ref="R8:R56">Q8-P8</f>
        <v>7366.718392939074</v>
      </c>
      <c r="S8" s="148">
        <v>0</v>
      </c>
      <c r="T8" s="148">
        <v>0</v>
      </c>
      <c r="U8" s="148">
        <v>0</v>
      </c>
      <c r="V8" s="388">
        <f>V7</f>
        <v>0.0359</v>
      </c>
      <c r="W8" s="58">
        <f>W7</f>
        <v>97685.763132213</v>
      </c>
      <c r="X8" s="58">
        <f>Z7*V7</f>
        <v>73000.61237351221</v>
      </c>
      <c r="Y8" s="58">
        <f aca="true" t="shared" si="8" ref="Y8:Y46">W8-X8</f>
        <v>24685.150758700795</v>
      </c>
      <c r="Z8" s="58">
        <f>Z7-Y8</f>
        <v>2008758.0908433106</v>
      </c>
      <c r="AA8" s="58">
        <f aca="true" t="shared" si="9" ref="AA8:AA46">AA7+(AA7*B7)</f>
        <v>19221.3</v>
      </c>
      <c r="AB8" s="58">
        <f aca="true" t="shared" si="10" ref="AB8:AB46">AB7+(AB7*B7)</f>
        <v>1266.165</v>
      </c>
      <c r="AC8" s="58">
        <f aca="true" t="shared" si="11" ref="AC8:AC46">AC7+(AC7*B7)</f>
        <v>1266.165</v>
      </c>
      <c r="AD8" s="58">
        <f aca="true" t="shared" si="12" ref="AD8:AD46">AD7+(AD7*B7)</f>
        <v>8789.44284</v>
      </c>
      <c r="AE8" s="58">
        <v>435</v>
      </c>
      <c r="AF8" s="217">
        <f aca="true" t="shared" si="13" ref="AF8:AF56">S8+T8+U8+X8+AA8+AB8+AC8+AD8+AE8</f>
        <v>103978.6852135122</v>
      </c>
      <c r="AG8" s="141">
        <f t="shared" si="0"/>
        <v>34187.41648081619</v>
      </c>
      <c r="AH8" s="318">
        <v>0</v>
      </c>
      <c r="AI8" s="217">
        <v>0</v>
      </c>
      <c r="AJ8" s="217">
        <f>AJ7+(AJ7*B8)</f>
        <v>8789.44284</v>
      </c>
      <c r="AK8" s="217">
        <f>AJ8-AD8</f>
        <v>0</v>
      </c>
      <c r="AL8" s="217">
        <v>0</v>
      </c>
      <c r="AM8" s="322">
        <f aca="true" t="shared" si="14" ref="AM8:AM46">R8</f>
        <v>7366.718392939074</v>
      </c>
      <c r="AN8" s="322">
        <v>0</v>
      </c>
      <c r="AO8" s="322">
        <v>0</v>
      </c>
      <c r="AP8" s="322">
        <v>0</v>
      </c>
      <c r="AQ8" s="139">
        <f aca="true" t="shared" si="15" ref="AQ8:AQ46">AH8+AI8+AK8+AL8+AM8+AP8</f>
        <v>7366.718392939074</v>
      </c>
      <c r="AR8" s="139">
        <f>AR7</f>
        <v>3626.0737415405692</v>
      </c>
      <c r="AS8" s="328" t="s">
        <v>89</v>
      </c>
      <c r="AT8" s="148" t="s">
        <v>89</v>
      </c>
      <c r="AU8" s="44" t="s">
        <v>89</v>
      </c>
    </row>
    <row r="9" spans="1:47" ht="12.75">
      <c r="A9" s="45">
        <v>3</v>
      </c>
      <c r="B9" s="332">
        <f t="shared" si="1"/>
        <v>0.017</v>
      </c>
      <c r="C9" s="189">
        <f aca="true" t="shared" si="16" ref="C9:C46">C8+(C8*B9)</f>
        <v>72746.39659912561</v>
      </c>
      <c r="D9" s="137">
        <v>0.03</v>
      </c>
      <c r="E9" s="44">
        <f t="shared" si="2"/>
        <v>-2182.391897973768</v>
      </c>
      <c r="F9" s="44">
        <f aca="true" t="shared" si="17" ref="F9:F46">F8+(F8*B9)</f>
        <v>413.7156</v>
      </c>
      <c r="G9" s="141">
        <f t="shared" si="3"/>
        <v>70977.72030115184</v>
      </c>
      <c r="H9" s="44">
        <f aca="true" t="shared" si="18" ref="H9:O46">H8</f>
        <v>48237.83801833731</v>
      </c>
      <c r="I9" s="44">
        <f t="shared" si="4"/>
        <v>52098.4935567951</v>
      </c>
      <c r="J9" s="44">
        <f t="shared" si="4"/>
        <v>11992.899018836059</v>
      </c>
      <c r="K9" s="44">
        <f t="shared" si="4"/>
        <v>13119.750241432015</v>
      </c>
      <c r="L9" s="44">
        <f t="shared" si="4"/>
        <v>6811.0130100821925</v>
      </c>
      <c r="M9" s="44">
        <f t="shared" si="4"/>
        <v>9190.224641967527</v>
      </c>
      <c r="N9" s="44">
        <f t="shared" si="4"/>
        <v>0</v>
      </c>
      <c r="O9" s="44">
        <f t="shared" si="4"/>
        <v>0</v>
      </c>
      <c r="P9" s="141">
        <f t="shared" si="5"/>
        <v>67041.75004725557</v>
      </c>
      <c r="Q9" s="140">
        <f t="shared" si="6"/>
        <v>74408.46844019464</v>
      </c>
      <c r="R9" s="141">
        <f t="shared" si="7"/>
        <v>7366.718392939074</v>
      </c>
      <c r="S9" s="148">
        <v>0</v>
      </c>
      <c r="T9" s="148">
        <v>0</v>
      </c>
      <c r="U9" s="148">
        <v>0</v>
      </c>
      <c r="V9" s="388">
        <f aca="true" t="shared" si="19" ref="V9:V46">V8</f>
        <v>0.0359</v>
      </c>
      <c r="W9" s="58">
        <f aca="true" t="shared" si="20" ref="W9:W46">W8</f>
        <v>97685.763132213</v>
      </c>
      <c r="X9" s="58">
        <f aca="true" t="shared" si="21" ref="X9:X46">Z8*V8</f>
        <v>72114.41546127485</v>
      </c>
      <c r="Y9" s="58">
        <f t="shared" si="8"/>
        <v>25571.34767093815</v>
      </c>
      <c r="Z9" s="58">
        <f aca="true" t="shared" si="22" ref="Z9:Z46">Z8-Y9</f>
        <v>1983186.7431723725</v>
      </c>
      <c r="AA9" s="58">
        <f t="shared" si="9"/>
        <v>19548.0621</v>
      </c>
      <c r="AB9" s="58">
        <f t="shared" si="10"/>
        <v>1287.689805</v>
      </c>
      <c r="AC9" s="58">
        <f t="shared" si="11"/>
        <v>1287.689805</v>
      </c>
      <c r="AD9" s="58">
        <f t="shared" si="12"/>
        <v>8938.86336828</v>
      </c>
      <c r="AE9" s="58">
        <v>435</v>
      </c>
      <c r="AF9" s="217">
        <f t="shared" si="13"/>
        <v>103611.72053955485</v>
      </c>
      <c r="AG9" s="141">
        <f t="shared" si="0"/>
        <v>32634.00023840301</v>
      </c>
      <c r="AH9" s="318">
        <v>0</v>
      </c>
      <c r="AI9" s="217">
        <v>0</v>
      </c>
      <c r="AJ9" s="217">
        <v>0</v>
      </c>
      <c r="AK9" s="217">
        <f>AD9-AJ9</f>
        <v>8938.86336828</v>
      </c>
      <c r="AL9" s="217">
        <v>0</v>
      </c>
      <c r="AM9" s="322">
        <f t="shared" si="14"/>
        <v>7366.718392939074</v>
      </c>
      <c r="AN9" s="322">
        <v>0</v>
      </c>
      <c r="AO9" s="322">
        <v>0</v>
      </c>
      <c r="AP9" s="322">
        <v>0</v>
      </c>
      <c r="AQ9" s="139">
        <f t="shared" si="15"/>
        <v>16305.581761219073</v>
      </c>
      <c r="AR9" s="139">
        <f aca="true" t="shared" si="23" ref="AR9:AR46">AR8</f>
        <v>3626.0737415405692</v>
      </c>
      <c r="AS9" s="328" t="s">
        <v>89</v>
      </c>
      <c r="AT9" s="148" t="s">
        <v>89</v>
      </c>
      <c r="AU9" s="44" t="s">
        <v>89</v>
      </c>
    </row>
    <row r="10" spans="1:47" ht="12.75">
      <c r="A10" s="45">
        <v>4</v>
      </c>
      <c r="B10" s="332">
        <f t="shared" si="1"/>
        <v>0.017</v>
      </c>
      <c r="C10" s="189">
        <f t="shared" si="16"/>
        <v>73983.08534131075</v>
      </c>
      <c r="D10" s="137">
        <v>0.03</v>
      </c>
      <c r="E10" s="44">
        <f t="shared" si="2"/>
        <v>-2219.4925602393228</v>
      </c>
      <c r="F10" s="44">
        <f t="shared" si="17"/>
        <v>420.7487652</v>
      </c>
      <c r="G10" s="141">
        <f t="shared" si="3"/>
        <v>72184.34154627143</v>
      </c>
      <c r="H10" s="44">
        <f t="shared" si="18"/>
        <v>48237.83801833731</v>
      </c>
      <c r="I10" s="44">
        <f t="shared" si="4"/>
        <v>52098.4935567951</v>
      </c>
      <c r="J10" s="44">
        <f t="shared" si="4"/>
        <v>11992.899018836059</v>
      </c>
      <c r="K10" s="44">
        <f t="shared" si="4"/>
        <v>13119.750241432015</v>
      </c>
      <c r="L10" s="44">
        <f t="shared" si="4"/>
        <v>6811.0130100821925</v>
      </c>
      <c r="M10" s="44">
        <f t="shared" si="4"/>
        <v>9190.224641967527</v>
      </c>
      <c r="N10" s="44">
        <f t="shared" si="4"/>
        <v>0</v>
      </c>
      <c r="O10" s="44">
        <f t="shared" si="4"/>
        <v>0</v>
      </c>
      <c r="P10" s="141">
        <f t="shared" si="5"/>
        <v>67041.75004725557</v>
      </c>
      <c r="Q10" s="140">
        <f t="shared" si="6"/>
        <v>74408.46844019464</v>
      </c>
      <c r="R10" s="141">
        <f t="shared" si="7"/>
        <v>7366.718392939074</v>
      </c>
      <c r="S10" s="148">
        <v>0</v>
      </c>
      <c r="T10" s="148">
        <v>0</v>
      </c>
      <c r="U10" s="148">
        <v>0</v>
      </c>
      <c r="V10" s="388">
        <f t="shared" si="19"/>
        <v>0.0359</v>
      </c>
      <c r="W10" s="58">
        <f t="shared" si="20"/>
        <v>97685.763132213</v>
      </c>
      <c r="X10" s="58">
        <f t="shared" si="21"/>
        <v>71196.40407988818</v>
      </c>
      <c r="Y10" s="58">
        <f t="shared" si="8"/>
        <v>26489.359052324828</v>
      </c>
      <c r="Z10" s="58">
        <f t="shared" si="22"/>
        <v>1956697.3841200476</v>
      </c>
      <c r="AA10" s="58">
        <f t="shared" si="9"/>
        <v>19880.3791557</v>
      </c>
      <c r="AB10" s="58">
        <f t="shared" si="10"/>
        <v>1309.5805316849999</v>
      </c>
      <c r="AC10" s="58">
        <f t="shared" si="11"/>
        <v>1309.5805316849999</v>
      </c>
      <c r="AD10" s="58">
        <f t="shared" si="12"/>
        <v>9090.82404554076</v>
      </c>
      <c r="AE10" s="58">
        <v>435</v>
      </c>
      <c r="AF10" s="217">
        <f t="shared" si="13"/>
        <v>103221.76834449894</v>
      </c>
      <c r="AG10" s="141">
        <f t="shared" si="0"/>
        <v>31037.426798227505</v>
      </c>
      <c r="AH10" s="318">
        <v>0</v>
      </c>
      <c r="AI10" s="217">
        <v>0</v>
      </c>
      <c r="AJ10" s="217">
        <v>0</v>
      </c>
      <c r="AK10" s="217">
        <f aca="true" t="shared" si="24" ref="AK10:AK31">AD10-AJ10</f>
        <v>9090.82404554076</v>
      </c>
      <c r="AL10" s="217">
        <v>0</v>
      </c>
      <c r="AM10" s="322">
        <f t="shared" si="14"/>
        <v>7366.718392939074</v>
      </c>
      <c r="AN10" s="322">
        <v>0</v>
      </c>
      <c r="AO10" s="322">
        <v>0</v>
      </c>
      <c r="AP10" s="322">
        <v>0</v>
      </c>
      <c r="AQ10" s="139">
        <f t="shared" si="15"/>
        <v>16457.54243847983</v>
      </c>
      <c r="AR10" s="139">
        <f t="shared" si="23"/>
        <v>3626.0737415405692</v>
      </c>
      <c r="AS10" s="328" t="s">
        <v>89</v>
      </c>
      <c r="AT10" s="148" t="s">
        <v>89</v>
      </c>
      <c r="AU10" s="44" t="s">
        <v>89</v>
      </c>
    </row>
    <row r="11" spans="1:47" ht="12.75">
      <c r="A11" s="45">
        <v>5</v>
      </c>
      <c r="B11" s="332">
        <f t="shared" si="1"/>
        <v>0.017</v>
      </c>
      <c r="C11" s="189">
        <f t="shared" si="16"/>
        <v>75240.79779211304</v>
      </c>
      <c r="D11" s="137">
        <v>0.03</v>
      </c>
      <c r="E11" s="44">
        <f t="shared" si="2"/>
        <v>-2257.223933763391</v>
      </c>
      <c r="F11" s="44">
        <f t="shared" si="17"/>
        <v>427.9014942084</v>
      </c>
      <c r="G11" s="141">
        <f t="shared" si="3"/>
        <v>73411.47535255805</v>
      </c>
      <c r="H11" s="44">
        <f t="shared" si="18"/>
        <v>48237.83801833731</v>
      </c>
      <c r="I11" s="44">
        <f t="shared" si="4"/>
        <v>52098.4935567951</v>
      </c>
      <c r="J11" s="44">
        <f t="shared" si="4"/>
        <v>11992.899018836059</v>
      </c>
      <c r="K11" s="44">
        <f t="shared" si="4"/>
        <v>13119.750241432015</v>
      </c>
      <c r="L11" s="44">
        <f t="shared" si="4"/>
        <v>6811.0130100821925</v>
      </c>
      <c r="M11" s="44">
        <f t="shared" si="4"/>
        <v>9190.224641967527</v>
      </c>
      <c r="N11" s="44">
        <f t="shared" si="4"/>
        <v>0</v>
      </c>
      <c r="O11" s="44">
        <f t="shared" si="4"/>
        <v>0</v>
      </c>
      <c r="P11" s="141">
        <f t="shared" si="5"/>
        <v>67041.75004725557</v>
      </c>
      <c r="Q11" s="140">
        <f t="shared" si="6"/>
        <v>74408.46844019464</v>
      </c>
      <c r="R11" s="141">
        <f t="shared" si="7"/>
        <v>7366.718392939074</v>
      </c>
      <c r="S11" s="148">
        <v>0</v>
      </c>
      <c r="T11" s="148">
        <v>0</v>
      </c>
      <c r="U11" s="148">
        <v>0</v>
      </c>
      <c r="V11" s="388">
        <f t="shared" si="19"/>
        <v>0.0359</v>
      </c>
      <c r="W11" s="58">
        <f t="shared" si="20"/>
        <v>97685.763132213</v>
      </c>
      <c r="X11" s="58">
        <f t="shared" si="21"/>
        <v>70245.43608990971</v>
      </c>
      <c r="Y11" s="58">
        <f t="shared" si="8"/>
        <v>27440.327042303295</v>
      </c>
      <c r="Z11" s="58">
        <f t="shared" si="22"/>
        <v>1929257.0570777443</v>
      </c>
      <c r="AA11" s="58">
        <f t="shared" si="9"/>
        <v>20218.3456013469</v>
      </c>
      <c r="AB11" s="58">
        <f t="shared" si="10"/>
        <v>1331.843400723645</v>
      </c>
      <c r="AC11" s="58">
        <f t="shared" si="11"/>
        <v>1331.843400723645</v>
      </c>
      <c r="AD11" s="58">
        <f t="shared" si="12"/>
        <v>9245.368054314953</v>
      </c>
      <c r="AE11" s="58">
        <v>435</v>
      </c>
      <c r="AF11" s="217">
        <f t="shared" si="13"/>
        <v>102807.83654701886</v>
      </c>
      <c r="AG11" s="141">
        <f t="shared" si="0"/>
        <v>29396.361194460813</v>
      </c>
      <c r="AH11" s="318">
        <v>0</v>
      </c>
      <c r="AI11" s="217">
        <v>0</v>
      </c>
      <c r="AJ11" s="217">
        <v>0</v>
      </c>
      <c r="AK11" s="217">
        <f t="shared" si="24"/>
        <v>9245.368054314953</v>
      </c>
      <c r="AL11" s="217">
        <v>0</v>
      </c>
      <c r="AM11" s="322">
        <f t="shared" si="14"/>
        <v>7366.718392939074</v>
      </c>
      <c r="AN11" s="322">
        <v>0</v>
      </c>
      <c r="AO11" s="322">
        <v>0</v>
      </c>
      <c r="AP11" s="322">
        <v>0</v>
      </c>
      <c r="AQ11" s="139">
        <f t="shared" si="15"/>
        <v>16612.086447254027</v>
      </c>
      <c r="AR11" s="139">
        <f t="shared" si="23"/>
        <v>3626.0737415405692</v>
      </c>
      <c r="AS11" s="328" t="s">
        <v>89</v>
      </c>
      <c r="AT11" s="148" t="s">
        <v>89</v>
      </c>
      <c r="AU11" s="44" t="s">
        <v>89</v>
      </c>
    </row>
    <row r="12" spans="1:47" ht="12.75">
      <c r="A12" s="45">
        <v>6</v>
      </c>
      <c r="B12" s="332">
        <f t="shared" si="1"/>
        <v>0.017</v>
      </c>
      <c r="C12" s="189">
        <f t="shared" si="16"/>
        <v>76519.89135457895</v>
      </c>
      <c r="D12" s="137">
        <v>0.03</v>
      </c>
      <c r="E12" s="44">
        <f t="shared" si="2"/>
        <v>-2295.5967406373684</v>
      </c>
      <c r="F12" s="44">
        <f t="shared" si="17"/>
        <v>435.1758196099428</v>
      </c>
      <c r="G12" s="141">
        <f t="shared" si="3"/>
        <v>74659.47043355153</v>
      </c>
      <c r="H12" s="44">
        <f t="shared" si="18"/>
        <v>48237.83801833731</v>
      </c>
      <c r="I12" s="44">
        <f t="shared" si="4"/>
        <v>52098.4935567951</v>
      </c>
      <c r="J12" s="44">
        <f t="shared" si="4"/>
        <v>11992.899018836059</v>
      </c>
      <c r="K12" s="44">
        <f t="shared" si="4"/>
        <v>13119.750241432015</v>
      </c>
      <c r="L12" s="44">
        <f t="shared" si="4"/>
        <v>6811.0130100821925</v>
      </c>
      <c r="M12" s="44">
        <f t="shared" si="4"/>
        <v>9190.224641967527</v>
      </c>
      <c r="N12" s="44">
        <f t="shared" si="4"/>
        <v>0</v>
      </c>
      <c r="O12" s="44">
        <f t="shared" si="4"/>
        <v>0</v>
      </c>
      <c r="P12" s="141">
        <f t="shared" si="5"/>
        <v>67041.75004725557</v>
      </c>
      <c r="Q12" s="140">
        <f t="shared" si="6"/>
        <v>74408.46844019464</v>
      </c>
      <c r="R12" s="141">
        <f t="shared" si="7"/>
        <v>7366.718392939074</v>
      </c>
      <c r="S12" s="148">
        <v>0</v>
      </c>
      <c r="T12" s="148">
        <v>0</v>
      </c>
      <c r="U12" s="148">
        <v>0</v>
      </c>
      <c r="V12" s="388">
        <f t="shared" si="19"/>
        <v>0.0359</v>
      </c>
      <c r="W12" s="58">
        <f t="shared" si="20"/>
        <v>97685.763132213</v>
      </c>
      <c r="X12" s="58">
        <f t="shared" si="21"/>
        <v>69260.32834909103</v>
      </c>
      <c r="Y12" s="58">
        <f t="shared" si="8"/>
        <v>28425.43478312198</v>
      </c>
      <c r="Z12" s="58">
        <f t="shared" si="22"/>
        <v>1900831.6222946222</v>
      </c>
      <c r="AA12" s="58">
        <f t="shared" si="9"/>
        <v>20562.057476569797</v>
      </c>
      <c r="AB12" s="58">
        <f t="shared" si="10"/>
        <v>1354.484738535947</v>
      </c>
      <c r="AC12" s="58">
        <f t="shared" si="11"/>
        <v>1354.484738535947</v>
      </c>
      <c r="AD12" s="58">
        <f t="shared" si="12"/>
        <v>9402.539311238308</v>
      </c>
      <c r="AE12" s="58">
        <v>435</v>
      </c>
      <c r="AF12" s="217">
        <f t="shared" si="13"/>
        <v>102368.89461397102</v>
      </c>
      <c r="AG12" s="141">
        <f t="shared" si="0"/>
        <v>27709.42418041949</v>
      </c>
      <c r="AH12" s="318">
        <v>0</v>
      </c>
      <c r="AI12" s="217">
        <v>0</v>
      </c>
      <c r="AJ12" s="217">
        <v>0</v>
      </c>
      <c r="AK12" s="217">
        <f t="shared" si="24"/>
        <v>9402.539311238308</v>
      </c>
      <c r="AL12" s="217">
        <v>0</v>
      </c>
      <c r="AM12" s="322">
        <f t="shared" si="14"/>
        <v>7366.718392939074</v>
      </c>
      <c r="AN12" s="322">
        <v>0</v>
      </c>
      <c r="AO12" s="322">
        <v>0</v>
      </c>
      <c r="AP12" s="322">
        <v>0</v>
      </c>
      <c r="AQ12" s="139">
        <f t="shared" si="15"/>
        <v>16769.257704177384</v>
      </c>
      <c r="AR12" s="139">
        <f t="shared" si="23"/>
        <v>3626.0737415405692</v>
      </c>
      <c r="AS12" s="328" t="s">
        <v>89</v>
      </c>
      <c r="AT12" s="148" t="s">
        <v>89</v>
      </c>
      <c r="AU12" s="44" t="s">
        <v>89</v>
      </c>
    </row>
    <row r="13" spans="1:47" ht="12.75">
      <c r="A13" s="45">
        <v>7</v>
      </c>
      <c r="B13" s="332">
        <f t="shared" si="1"/>
        <v>0.017</v>
      </c>
      <c r="C13" s="189">
        <f t="shared" si="16"/>
        <v>77820.7295076068</v>
      </c>
      <c r="D13" s="137">
        <v>0.03</v>
      </c>
      <c r="E13" s="44">
        <f t="shared" si="2"/>
        <v>-2334.6218852282036</v>
      </c>
      <c r="F13" s="44">
        <f t="shared" si="17"/>
        <v>442.5738085433118</v>
      </c>
      <c r="G13" s="141">
        <f t="shared" si="3"/>
        <v>75928.6814309219</v>
      </c>
      <c r="H13" s="44">
        <f t="shared" si="18"/>
        <v>48237.83801833731</v>
      </c>
      <c r="I13" s="44">
        <f t="shared" si="4"/>
        <v>52098.4935567951</v>
      </c>
      <c r="J13" s="44">
        <f t="shared" si="4"/>
        <v>11992.899018836059</v>
      </c>
      <c r="K13" s="44">
        <f t="shared" si="4"/>
        <v>13119.750241432015</v>
      </c>
      <c r="L13" s="44">
        <f t="shared" si="4"/>
        <v>6811.0130100821925</v>
      </c>
      <c r="M13" s="44">
        <f t="shared" si="4"/>
        <v>9190.224641967527</v>
      </c>
      <c r="N13" s="44">
        <f t="shared" si="4"/>
        <v>0</v>
      </c>
      <c r="O13" s="44">
        <f t="shared" si="4"/>
        <v>0</v>
      </c>
      <c r="P13" s="141">
        <f t="shared" si="5"/>
        <v>67041.75004725557</v>
      </c>
      <c r="Q13" s="140">
        <f t="shared" si="6"/>
        <v>74408.46844019464</v>
      </c>
      <c r="R13" s="141">
        <f t="shared" si="7"/>
        <v>7366.718392939074</v>
      </c>
      <c r="S13" s="148">
        <v>0</v>
      </c>
      <c r="T13" s="148">
        <v>0</v>
      </c>
      <c r="U13" s="148">
        <v>0</v>
      </c>
      <c r="V13" s="388">
        <f t="shared" si="19"/>
        <v>0.0359</v>
      </c>
      <c r="W13" s="58">
        <f t="shared" si="20"/>
        <v>97685.763132213</v>
      </c>
      <c r="X13" s="58">
        <f t="shared" si="21"/>
        <v>68239.85524037694</v>
      </c>
      <c r="Y13" s="58">
        <f t="shared" si="8"/>
        <v>29445.90789183606</v>
      </c>
      <c r="Z13" s="58">
        <f t="shared" si="22"/>
        <v>1871385.7144027862</v>
      </c>
      <c r="AA13" s="58">
        <f t="shared" si="9"/>
        <v>20911.61245367148</v>
      </c>
      <c r="AB13" s="58">
        <f t="shared" si="10"/>
        <v>1377.510979091058</v>
      </c>
      <c r="AC13" s="58">
        <f t="shared" si="11"/>
        <v>1377.510979091058</v>
      </c>
      <c r="AD13" s="58">
        <f t="shared" si="12"/>
        <v>9562.382479529359</v>
      </c>
      <c r="AE13" s="58">
        <v>435</v>
      </c>
      <c r="AF13" s="217">
        <f t="shared" si="13"/>
        <v>101903.87213175991</v>
      </c>
      <c r="AG13" s="141">
        <f t="shared" si="0"/>
        <v>25975.190700838008</v>
      </c>
      <c r="AH13" s="318">
        <v>0</v>
      </c>
      <c r="AI13" s="217">
        <v>0</v>
      </c>
      <c r="AJ13" s="217">
        <v>0</v>
      </c>
      <c r="AK13" s="217">
        <f t="shared" si="24"/>
        <v>9562.382479529359</v>
      </c>
      <c r="AL13" s="217">
        <v>0</v>
      </c>
      <c r="AM13" s="322">
        <f t="shared" si="14"/>
        <v>7366.718392939074</v>
      </c>
      <c r="AN13" s="322">
        <v>0</v>
      </c>
      <c r="AO13" s="322">
        <v>0</v>
      </c>
      <c r="AP13" s="322">
        <v>0</v>
      </c>
      <c r="AQ13" s="139">
        <f t="shared" si="15"/>
        <v>16929.100872468432</v>
      </c>
      <c r="AR13" s="139">
        <f t="shared" si="23"/>
        <v>3626.0737415405692</v>
      </c>
      <c r="AS13" s="328" t="s">
        <v>89</v>
      </c>
      <c r="AT13" s="148" t="s">
        <v>89</v>
      </c>
      <c r="AU13" s="44" t="s">
        <v>89</v>
      </c>
    </row>
    <row r="14" spans="1:47" ht="12.75">
      <c r="A14" s="45">
        <v>8</v>
      </c>
      <c r="B14" s="332">
        <f t="shared" si="1"/>
        <v>0.017</v>
      </c>
      <c r="C14" s="189">
        <f t="shared" si="16"/>
        <v>79143.68190923611</v>
      </c>
      <c r="D14" s="137">
        <v>0.03</v>
      </c>
      <c r="E14" s="44">
        <f t="shared" si="2"/>
        <v>-2374.310457277083</v>
      </c>
      <c r="F14" s="44">
        <f t="shared" si="17"/>
        <v>450.09756328854814</v>
      </c>
      <c r="G14" s="141">
        <f t="shared" si="3"/>
        <v>77219.46901524758</v>
      </c>
      <c r="H14" s="44">
        <f t="shared" si="18"/>
        <v>48237.83801833731</v>
      </c>
      <c r="I14" s="44">
        <f t="shared" si="4"/>
        <v>52098.4935567951</v>
      </c>
      <c r="J14" s="44">
        <f t="shared" si="4"/>
        <v>11992.899018836059</v>
      </c>
      <c r="K14" s="44">
        <f t="shared" si="4"/>
        <v>13119.750241432015</v>
      </c>
      <c r="L14" s="44">
        <f t="shared" si="4"/>
        <v>6811.0130100821925</v>
      </c>
      <c r="M14" s="44">
        <f t="shared" si="4"/>
        <v>9190.224641967527</v>
      </c>
      <c r="N14" s="44">
        <f t="shared" si="4"/>
        <v>0</v>
      </c>
      <c r="O14" s="44">
        <f t="shared" si="4"/>
        <v>0</v>
      </c>
      <c r="P14" s="141">
        <f t="shared" si="5"/>
        <v>67041.75004725557</v>
      </c>
      <c r="Q14" s="140">
        <f t="shared" si="6"/>
        <v>74408.46844019464</v>
      </c>
      <c r="R14" s="141">
        <f t="shared" si="7"/>
        <v>7366.718392939074</v>
      </c>
      <c r="S14" s="148">
        <v>0</v>
      </c>
      <c r="T14" s="148">
        <v>0</v>
      </c>
      <c r="U14" s="148">
        <v>0</v>
      </c>
      <c r="V14" s="388">
        <f t="shared" si="19"/>
        <v>0.0359</v>
      </c>
      <c r="W14" s="58">
        <f t="shared" si="20"/>
        <v>97685.763132213</v>
      </c>
      <c r="X14" s="58">
        <f t="shared" si="21"/>
        <v>67182.74714706003</v>
      </c>
      <c r="Y14" s="58">
        <f t="shared" si="8"/>
        <v>30503.015985152975</v>
      </c>
      <c r="Z14" s="58">
        <f t="shared" si="22"/>
        <v>1840882.6984176333</v>
      </c>
      <c r="AA14" s="58">
        <f t="shared" si="9"/>
        <v>21267.109865383896</v>
      </c>
      <c r="AB14" s="58">
        <f t="shared" si="10"/>
        <v>1400.928665735606</v>
      </c>
      <c r="AC14" s="58">
        <f t="shared" si="11"/>
        <v>1400.928665735606</v>
      </c>
      <c r="AD14" s="58">
        <f t="shared" si="12"/>
        <v>9724.942981681357</v>
      </c>
      <c r="AE14" s="58">
        <v>435</v>
      </c>
      <c r="AF14" s="217">
        <f t="shared" si="13"/>
        <v>101411.65732559649</v>
      </c>
      <c r="AG14" s="141">
        <f t="shared" si="0"/>
        <v>24192.18831034891</v>
      </c>
      <c r="AH14" s="318">
        <v>0</v>
      </c>
      <c r="AI14" s="217">
        <v>0</v>
      </c>
      <c r="AJ14" s="217">
        <v>0</v>
      </c>
      <c r="AK14" s="217">
        <f t="shared" si="24"/>
        <v>9724.942981681357</v>
      </c>
      <c r="AL14" s="217">
        <v>0</v>
      </c>
      <c r="AM14" s="322">
        <f t="shared" si="14"/>
        <v>7366.718392939074</v>
      </c>
      <c r="AN14" s="322">
        <v>0</v>
      </c>
      <c r="AO14" s="322">
        <v>0</v>
      </c>
      <c r="AP14" s="322">
        <v>0</v>
      </c>
      <c r="AQ14" s="139">
        <f t="shared" si="15"/>
        <v>17091.66137462043</v>
      </c>
      <c r="AR14" s="139">
        <f t="shared" si="23"/>
        <v>3626.0737415405692</v>
      </c>
      <c r="AS14" s="328" t="s">
        <v>89</v>
      </c>
      <c r="AT14" s="148" t="s">
        <v>89</v>
      </c>
      <c r="AU14" s="44" t="s">
        <v>89</v>
      </c>
    </row>
    <row r="15" spans="1:47" ht="12.75">
      <c r="A15" s="45">
        <v>9</v>
      </c>
      <c r="B15" s="332">
        <f t="shared" si="1"/>
        <v>0.017</v>
      </c>
      <c r="C15" s="189">
        <f t="shared" si="16"/>
        <v>80489.12450169312</v>
      </c>
      <c r="D15" s="137">
        <v>0.03</v>
      </c>
      <c r="E15" s="44">
        <f t="shared" si="2"/>
        <v>-2414.6737350507933</v>
      </c>
      <c r="F15" s="44">
        <f t="shared" si="17"/>
        <v>457.7492218644535</v>
      </c>
      <c r="G15" s="141">
        <f t="shared" si="3"/>
        <v>78532.19998850678</v>
      </c>
      <c r="H15" s="44">
        <f t="shared" si="18"/>
        <v>48237.83801833731</v>
      </c>
      <c r="I15" s="44">
        <f t="shared" si="4"/>
        <v>52098.4935567951</v>
      </c>
      <c r="J15" s="44">
        <f t="shared" si="4"/>
        <v>11992.899018836059</v>
      </c>
      <c r="K15" s="44">
        <f t="shared" si="4"/>
        <v>13119.750241432015</v>
      </c>
      <c r="L15" s="44">
        <f t="shared" si="4"/>
        <v>6811.0130100821925</v>
      </c>
      <c r="M15" s="44">
        <f t="shared" si="4"/>
        <v>9190.224641967527</v>
      </c>
      <c r="N15" s="44">
        <f t="shared" si="4"/>
        <v>0</v>
      </c>
      <c r="O15" s="44">
        <f t="shared" si="4"/>
        <v>0</v>
      </c>
      <c r="P15" s="141">
        <f t="shared" si="5"/>
        <v>67041.75004725557</v>
      </c>
      <c r="Q15" s="140">
        <f t="shared" si="6"/>
        <v>74408.46844019464</v>
      </c>
      <c r="R15" s="141">
        <f t="shared" si="7"/>
        <v>7366.718392939074</v>
      </c>
      <c r="S15" s="148">
        <v>0</v>
      </c>
      <c r="T15" s="148">
        <v>0</v>
      </c>
      <c r="U15" s="148">
        <v>0</v>
      </c>
      <c r="V15" s="388">
        <f t="shared" si="19"/>
        <v>0.0359</v>
      </c>
      <c r="W15" s="58">
        <f t="shared" si="20"/>
        <v>97685.763132213</v>
      </c>
      <c r="X15" s="58">
        <f t="shared" si="21"/>
        <v>66087.68887319304</v>
      </c>
      <c r="Y15" s="58">
        <f t="shared" si="8"/>
        <v>31598.074259019966</v>
      </c>
      <c r="Z15" s="58">
        <f t="shared" si="22"/>
        <v>1809284.6241586134</v>
      </c>
      <c r="AA15" s="58">
        <f t="shared" si="9"/>
        <v>21628.650733095423</v>
      </c>
      <c r="AB15" s="58">
        <f t="shared" si="10"/>
        <v>1424.7444530531113</v>
      </c>
      <c r="AC15" s="58">
        <f t="shared" si="11"/>
        <v>1424.7444530531113</v>
      </c>
      <c r="AD15" s="58">
        <f t="shared" si="12"/>
        <v>9890.26701236994</v>
      </c>
      <c r="AE15" s="58">
        <v>435</v>
      </c>
      <c r="AF15" s="217">
        <f t="shared" si="13"/>
        <v>100891.0955247646</v>
      </c>
      <c r="AG15" s="141">
        <f t="shared" si="0"/>
        <v>22358.895536257827</v>
      </c>
      <c r="AH15" s="318">
        <v>0</v>
      </c>
      <c r="AI15" s="217">
        <v>0</v>
      </c>
      <c r="AJ15" s="217">
        <v>0</v>
      </c>
      <c r="AK15" s="217">
        <f t="shared" si="24"/>
        <v>9890.26701236994</v>
      </c>
      <c r="AL15" s="217">
        <v>0</v>
      </c>
      <c r="AM15" s="322">
        <f t="shared" si="14"/>
        <v>7366.718392939074</v>
      </c>
      <c r="AN15" s="322">
        <v>0</v>
      </c>
      <c r="AO15" s="322">
        <v>0</v>
      </c>
      <c r="AP15" s="322">
        <v>0</v>
      </c>
      <c r="AQ15" s="139">
        <f t="shared" si="15"/>
        <v>17256.985405309017</v>
      </c>
      <c r="AR15" s="139">
        <f t="shared" si="23"/>
        <v>3626.0737415405692</v>
      </c>
      <c r="AS15" s="328" t="s">
        <v>89</v>
      </c>
      <c r="AT15" s="148" t="s">
        <v>89</v>
      </c>
      <c r="AU15" s="44" t="s">
        <v>89</v>
      </c>
    </row>
    <row r="16" spans="1:47" ht="12.75">
      <c r="A16" s="45">
        <v>10</v>
      </c>
      <c r="B16" s="332">
        <f t="shared" si="1"/>
        <v>0.017</v>
      </c>
      <c r="C16" s="189">
        <f t="shared" si="16"/>
        <v>81857.4396182219</v>
      </c>
      <c r="D16" s="137">
        <v>0.03</v>
      </c>
      <c r="E16" s="44">
        <f t="shared" si="2"/>
        <v>-2455.723188546657</v>
      </c>
      <c r="F16" s="44">
        <f t="shared" si="17"/>
        <v>465.5309586361492</v>
      </c>
      <c r="G16" s="141">
        <f t="shared" si="3"/>
        <v>79867.2473883114</v>
      </c>
      <c r="H16" s="44">
        <f t="shared" si="18"/>
        <v>48237.83801833731</v>
      </c>
      <c r="I16" s="44">
        <f t="shared" si="4"/>
        <v>52098.4935567951</v>
      </c>
      <c r="J16" s="44">
        <f t="shared" si="4"/>
        <v>11992.899018836059</v>
      </c>
      <c r="K16" s="44">
        <f t="shared" si="4"/>
        <v>13119.750241432015</v>
      </c>
      <c r="L16" s="44">
        <f t="shared" si="4"/>
        <v>6811.0130100821925</v>
      </c>
      <c r="M16" s="44">
        <f t="shared" si="4"/>
        <v>9190.224641967527</v>
      </c>
      <c r="N16" s="44">
        <f t="shared" si="4"/>
        <v>0</v>
      </c>
      <c r="O16" s="44">
        <f t="shared" si="4"/>
        <v>0</v>
      </c>
      <c r="P16" s="141">
        <f t="shared" si="5"/>
        <v>67041.75004725557</v>
      </c>
      <c r="Q16" s="140">
        <f t="shared" si="6"/>
        <v>74408.46844019464</v>
      </c>
      <c r="R16" s="141">
        <f t="shared" si="7"/>
        <v>7366.718392939074</v>
      </c>
      <c r="S16" s="148">
        <v>0</v>
      </c>
      <c r="T16" s="148">
        <v>0</v>
      </c>
      <c r="U16" s="148">
        <v>0</v>
      </c>
      <c r="V16" s="388">
        <f t="shared" si="19"/>
        <v>0.0359</v>
      </c>
      <c r="W16" s="58">
        <f t="shared" si="20"/>
        <v>97685.763132213</v>
      </c>
      <c r="X16" s="58">
        <f t="shared" si="21"/>
        <v>64953.31800729422</v>
      </c>
      <c r="Y16" s="58">
        <f t="shared" si="8"/>
        <v>32732.445124918784</v>
      </c>
      <c r="Z16" s="58">
        <f t="shared" si="22"/>
        <v>1776552.1790336946</v>
      </c>
      <c r="AA16" s="58">
        <f t="shared" si="9"/>
        <v>21996.337795558044</v>
      </c>
      <c r="AB16" s="58">
        <f t="shared" si="10"/>
        <v>1448.9651087550142</v>
      </c>
      <c r="AC16" s="58">
        <f t="shared" si="11"/>
        <v>1448.9651087550142</v>
      </c>
      <c r="AD16" s="58">
        <f t="shared" si="12"/>
        <v>10058.40155158023</v>
      </c>
      <c r="AE16" s="58">
        <v>435</v>
      </c>
      <c r="AF16" s="217">
        <f t="shared" si="13"/>
        <v>100340.98757194253</v>
      </c>
      <c r="AG16" s="141">
        <f t="shared" si="0"/>
        <v>20473.740183631133</v>
      </c>
      <c r="AH16" s="318">
        <v>0</v>
      </c>
      <c r="AI16" s="217">
        <v>0</v>
      </c>
      <c r="AJ16" s="217">
        <v>0</v>
      </c>
      <c r="AK16" s="217">
        <f t="shared" si="24"/>
        <v>10058.40155158023</v>
      </c>
      <c r="AL16" s="217">
        <v>0</v>
      </c>
      <c r="AM16" s="322">
        <f t="shared" si="14"/>
        <v>7366.718392939074</v>
      </c>
      <c r="AN16" s="322">
        <v>0</v>
      </c>
      <c r="AO16" s="322">
        <v>0</v>
      </c>
      <c r="AP16" s="322">
        <v>0</v>
      </c>
      <c r="AQ16" s="139">
        <f t="shared" si="15"/>
        <v>17425.119944519305</v>
      </c>
      <c r="AR16" s="139">
        <f t="shared" si="23"/>
        <v>3626.0737415405692</v>
      </c>
      <c r="AS16" s="328" t="s">
        <v>89</v>
      </c>
      <c r="AT16" s="148" t="s">
        <v>89</v>
      </c>
      <c r="AU16" s="44" t="s">
        <v>89</v>
      </c>
    </row>
    <row r="17" spans="1:47" ht="12.75">
      <c r="A17" s="45">
        <v>11</v>
      </c>
      <c r="B17" s="332">
        <f t="shared" si="1"/>
        <v>0.017</v>
      </c>
      <c r="C17" s="189">
        <f t="shared" si="16"/>
        <v>83249.01609173168</v>
      </c>
      <c r="D17" s="137">
        <v>0.03</v>
      </c>
      <c r="E17" s="44">
        <f t="shared" si="2"/>
        <v>-2497.4704827519504</v>
      </c>
      <c r="F17" s="44">
        <f t="shared" si="17"/>
        <v>473.44498493296373</v>
      </c>
      <c r="G17" s="141">
        <f t="shared" si="3"/>
        <v>81224.9905939127</v>
      </c>
      <c r="H17" s="44">
        <f t="shared" si="18"/>
        <v>48237.83801833731</v>
      </c>
      <c r="I17" s="44">
        <f t="shared" si="4"/>
        <v>52098.4935567951</v>
      </c>
      <c r="J17" s="44">
        <f t="shared" si="4"/>
        <v>11992.899018836059</v>
      </c>
      <c r="K17" s="44">
        <f t="shared" si="4"/>
        <v>13119.750241432015</v>
      </c>
      <c r="L17" s="44">
        <f t="shared" si="4"/>
        <v>6811.0130100821925</v>
      </c>
      <c r="M17" s="44">
        <f t="shared" si="4"/>
        <v>9190.224641967527</v>
      </c>
      <c r="N17" s="44">
        <f t="shared" si="4"/>
        <v>0</v>
      </c>
      <c r="O17" s="44">
        <f t="shared" si="4"/>
        <v>0</v>
      </c>
      <c r="P17" s="141">
        <f t="shared" si="5"/>
        <v>67041.75004725557</v>
      </c>
      <c r="Q17" s="140">
        <f t="shared" si="6"/>
        <v>74408.46844019464</v>
      </c>
      <c r="R17" s="141">
        <f t="shared" si="7"/>
        <v>7366.718392939074</v>
      </c>
      <c r="S17" s="148">
        <v>0</v>
      </c>
      <c r="T17" s="148">
        <v>0</v>
      </c>
      <c r="U17" s="148">
        <v>0</v>
      </c>
      <c r="V17" s="388">
        <f t="shared" si="19"/>
        <v>0.0359</v>
      </c>
      <c r="W17" s="58">
        <f t="shared" si="20"/>
        <v>97685.763132213</v>
      </c>
      <c r="X17" s="58">
        <f t="shared" si="21"/>
        <v>63778.22322730964</v>
      </c>
      <c r="Y17" s="58">
        <f t="shared" si="8"/>
        <v>33907.539904903366</v>
      </c>
      <c r="Z17" s="58">
        <f t="shared" si="22"/>
        <v>1742644.6391287912</v>
      </c>
      <c r="AA17" s="58">
        <f t="shared" si="9"/>
        <v>22370.27553808253</v>
      </c>
      <c r="AB17" s="58">
        <f t="shared" si="10"/>
        <v>1473.5975156038494</v>
      </c>
      <c r="AC17" s="58">
        <f t="shared" si="11"/>
        <v>1473.5975156038494</v>
      </c>
      <c r="AD17" s="58">
        <f t="shared" si="12"/>
        <v>10229.394377957093</v>
      </c>
      <c r="AE17" s="58">
        <v>435</v>
      </c>
      <c r="AF17" s="217">
        <f t="shared" si="13"/>
        <v>99760.08817455696</v>
      </c>
      <c r="AG17" s="141">
        <f t="shared" si="0"/>
        <v>18535.09758064426</v>
      </c>
      <c r="AH17" s="318">
        <v>0</v>
      </c>
      <c r="AI17" s="217">
        <v>0</v>
      </c>
      <c r="AJ17" s="217">
        <v>0</v>
      </c>
      <c r="AK17" s="217">
        <f t="shared" si="24"/>
        <v>10229.394377957093</v>
      </c>
      <c r="AL17" s="217">
        <v>0</v>
      </c>
      <c r="AM17" s="322">
        <f t="shared" si="14"/>
        <v>7366.718392939074</v>
      </c>
      <c r="AN17" s="322">
        <v>0</v>
      </c>
      <c r="AO17" s="322">
        <v>0</v>
      </c>
      <c r="AP17" s="322">
        <v>0</v>
      </c>
      <c r="AQ17" s="139">
        <f t="shared" si="15"/>
        <v>17596.112770896165</v>
      </c>
      <c r="AR17" s="139">
        <f t="shared" si="23"/>
        <v>3626.0737415405692</v>
      </c>
      <c r="AS17" s="328" t="s">
        <v>89</v>
      </c>
      <c r="AT17" s="148" t="s">
        <v>89</v>
      </c>
      <c r="AU17" s="44" t="s">
        <v>89</v>
      </c>
    </row>
    <row r="18" spans="1:47" ht="12.75">
      <c r="A18" s="45">
        <v>12</v>
      </c>
      <c r="B18" s="332">
        <f t="shared" si="1"/>
        <v>0.017</v>
      </c>
      <c r="C18" s="189">
        <f t="shared" si="16"/>
        <v>84664.24936529112</v>
      </c>
      <c r="D18" s="137">
        <v>0.03</v>
      </c>
      <c r="E18" s="44">
        <f t="shared" si="2"/>
        <v>-2539.9274809587337</v>
      </c>
      <c r="F18" s="44">
        <f t="shared" si="17"/>
        <v>481.4935496768241</v>
      </c>
      <c r="G18" s="141">
        <f t="shared" si="3"/>
        <v>82605.81543400922</v>
      </c>
      <c r="H18" s="44">
        <f t="shared" si="18"/>
        <v>48237.83801833731</v>
      </c>
      <c r="I18" s="44">
        <f t="shared" si="4"/>
        <v>52098.4935567951</v>
      </c>
      <c r="J18" s="44">
        <f t="shared" si="4"/>
        <v>11992.899018836059</v>
      </c>
      <c r="K18" s="44">
        <f t="shared" si="4"/>
        <v>13119.750241432015</v>
      </c>
      <c r="L18" s="44">
        <f t="shared" si="4"/>
        <v>6811.0130100821925</v>
      </c>
      <c r="M18" s="44">
        <f t="shared" si="4"/>
        <v>9190.224641967527</v>
      </c>
      <c r="N18" s="44">
        <f t="shared" si="4"/>
        <v>0</v>
      </c>
      <c r="O18" s="44">
        <f t="shared" si="4"/>
        <v>0</v>
      </c>
      <c r="P18" s="141">
        <f t="shared" si="5"/>
        <v>67041.75004725557</v>
      </c>
      <c r="Q18" s="140">
        <f t="shared" si="6"/>
        <v>74408.46844019464</v>
      </c>
      <c r="R18" s="141">
        <f t="shared" si="7"/>
        <v>7366.718392939074</v>
      </c>
      <c r="S18" s="148">
        <v>0</v>
      </c>
      <c r="T18" s="148">
        <v>0</v>
      </c>
      <c r="U18" s="148">
        <v>0</v>
      </c>
      <c r="V18" s="388">
        <f t="shared" si="19"/>
        <v>0.0359</v>
      </c>
      <c r="W18" s="58">
        <f t="shared" si="20"/>
        <v>97685.763132213</v>
      </c>
      <c r="X18" s="58">
        <f t="shared" si="21"/>
        <v>62560.942544723606</v>
      </c>
      <c r="Y18" s="58">
        <f t="shared" si="8"/>
        <v>35124.8205874894</v>
      </c>
      <c r="Z18" s="58">
        <f t="shared" si="22"/>
        <v>1707519.8185413019</v>
      </c>
      <c r="AA18" s="58">
        <f t="shared" si="9"/>
        <v>22750.570222229933</v>
      </c>
      <c r="AB18" s="58">
        <f t="shared" si="10"/>
        <v>1498.648673369115</v>
      </c>
      <c r="AC18" s="58">
        <f t="shared" si="11"/>
        <v>1498.648673369115</v>
      </c>
      <c r="AD18" s="58">
        <f t="shared" si="12"/>
        <v>10403.294082382363</v>
      </c>
      <c r="AE18" s="58">
        <v>435</v>
      </c>
      <c r="AF18" s="217">
        <f t="shared" si="13"/>
        <v>99147.10419607413</v>
      </c>
      <c r="AG18" s="141">
        <f t="shared" si="0"/>
        <v>16541.288762064913</v>
      </c>
      <c r="AH18" s="318">
        <v>0</v>
      </c>
      <c r="AI18" s="217">
        <v>0</v>
      </c>
      <c r="AJ18" s="217">
        <v>0</v>
      </c>
      <c r="AK18" s="217">
        <f t="shared" si="24"/>
        <v>10403.294082382363</v>
      </c>
      <c r="AL18" s="217">
        <v>0</v>
      </c>
      <c r="AM18" s="322">
        <f t="shared" si="14"/>
        <v>7366.718392939074</v>
      </c>
      <c r="AN18" s="322">
        <v>0</v>
      </c>
      <c r="AO18" s="322">
        <v>0</v>
      </c>
      <c r="AP18" s="322">
        <v>0</v>
      </c>
      <c r="AQ18" s="139">
        <f t="shared" si="15"/>
        <v>17770.012475321437</v>
      </c>
      <c r="AR18" s="139">
        <f t="shared" si="23"/>
        <v>3626.0737415405692</v>
      </c>
      <c r="AS18" s="328" t="s">
        <v>89</v>
      </c>
      <c r="AT18" s="148" t="s">
        <v>89</v>
      </c>
      <c r="AU18" s="44" t="s">
        <v>89</v>
      </c>
    </row>
    <row r="19" spans="1:47" ht="12.75">
      <c r="A19" s="45">
        <v>13</v>
      </c>
      <c r="B19" s="332">
        <f t="shared" si="1"/>
        <v>0.017</v>
      </c>
      <c r="C19" s="189">
        <f t="shared" si="16"/>
        <v>86103.54160450106</v>
      </c>
      <c r="D19" s="137">
        <v>0.03</v>
      </c>
      <c r="E19" s="44">
        <f t="shared" si="2"/>
        <v>-2583.106248135032</v>
      </c>
      <c r="F19" s="44">
        <f t="shared" si="17"/>
        <v>489.6789400213301</v>
      </c>
      <c r="G19" s="141">
        <f t="shared" si="3"/>
        <v>84010.11429638736</v>
      </c>
      <c r="H19" s="44">
        <f t="shared" si="18"/>
        <v>48237.83801833731</v>
      </c>
      <c r="I19" s="44">
        <f t="shared" si="4"/>
        <v>52098.4935567951</v>
      </c>
      <c r="J19" s="44">
        <f t="shared" si="4"/>
        <v>11992.899018836059</v>
      </c>
      <c r="K19" s="44">
        <f t="shared" si="4"/>
        <v>13119.750241432015</v>
      </c>
      <c r="L19" s="44">
        <f t="shared" si="4"/>
        <v>6811.0130100821925</v>
      </c>
      <c r="M19" s="44">
        <f t="shared" si="4"/>
        <v>9190.224641967527</v>
      </c>
      <c r="N19" s="44">
        <f t="shared" si="4"/>
        <v>0</v>
      </c>
      <c r="O19" s="44">
        <f t="shared" si="4"/>
        <v>0</v>
      </c>
      <c r="P19" s="141">
        <f t="shared" si="5"/>
        <v>67041.75004725557</v>
      </c>
      <c r="Q19" s="140">
        <f t="shared" si="6"/>
        <v>74408.46844019464</v>
      </c>
      <c r="R19" s="141">
        <f t="shared" si="7"/>
        <v>7366.718392939074</v>
      </c>
      <c r="S19" s="148">
        <v>0</v>
      </c>
      <c r="T19" s="148">
        <v>0</v>
      </c>
      <c r="U19" s="148">
        <v>0</v>
      </c>
      <c r="V19" s="388">
        <f t="shared" si="19"/>
        <v>0.0359</v>
      </c>
      <c r="W19" s="58">
        <f t="shared" si="20"/>
        <v>97685.763132213</v>
      </c>
      <c r="X19" s="58">
        <f t="shared" si="21"/>
        <v>61299.96148563274</v>
      </c>
      <c r="Y19" s="58">
        <f t="shared" si="8"/>
        <v>36385.801646580265</v>
      </c>
      <c r="Z19" s="58">
        <f t="shared" si="22"/>
        <v>1671134.0168947217</v>
      </c>
      <c r="AA19" s="58">
        <f t="shared" si="9"/>
        <v>23137.329916007842</v>
      </c>
      <c r="AB19" s="58">
        <f t="shared" si="10"/>
        <v>1524.1257008163898</v>
      </c>
      <c r="AC19" s="58">
        <f t="shared" si="11"/>
        <v>1524.1257008163898</v>
      </c>
      <c r="AD19" s="58">
        <f t="shared" si="12"/>
        <v>10580.150081782864</v>
      </c>
      <c r="AE19" s="58">
        <v>435</v>
      </c>
      <c r="AF19" s="217">
        <f t="shared" si="13"/>
        <v>98500.69288505624</v>
      </c>
      <c r="AG19" s="141">
        <f t="shared" si="0"/>
        <v>14490.578588668883</v>
      </c>
      <c r="AH19" s="318">
        <v>0</v>
      </c>
      <c r="AI19" s="217">
        <v>0</v>
      </c>
      <c r="AJ19" s="217">
        <v>0</v>
      </c>
      <c r="AK19" s="217">
        <f t="shared" si="24"/>
        <v>10580.150081782864</v>
      </c>
      <c r="AL19" s="217">
        <v>0</v>
      </c>
      <c r="AM19" s="322">
        <f t="shared" si="14"/>
        <v>7366.718392939074</v>
      </c>
      <c r="AN19" s="322">
        <v>0</v>
      </c>
      <c r="AO19" s="322">
        <v>0</v>
      </c>
      <c r="AP19" s="322">
        <v>0</v>
      </c>
      <c r="AQ19" s="139">
        <f t="shared" si="15"/>
        <v>17946.868474721938</v>
      </c>
      <c r="AR19" s="139">
        <f t="shared" si="23"/>
        <v>3626.0737415405692</v>
      </c>
      <c r="AS19" s="328" t="s">
        <v>76</v>
      </c>
      <c r="AT19" s="148" t="s">
        <v>89</v>
      </c>
      <c r="AU19" s="44" t="s">
        <v>89</v>
      </c>
    </row>
    <row r="20" spans="1:47" ht="12.75">
      <c r="A20" s="45">
        <v>14</v>
      </c>
      <c r="B20" s="332">
        <f t="shared" si="1"/>
        <v>0.017</v>
      </c>
      <c r="C20" s="189">
        <f t="shared" si="16"/>
        <v>87567.30181177758</v>
      </c>
      <c r="D20" s="137">
        <v>0.03</v>
      </c>
      <c r="E20" s="44">
        <f t="shared" si="2"/>
        <v>-2627.019054353327</v>
      </c>
      <c r="F20" s="44">
        <f t="shared" si="17"/>
        <v>498.0034820016927</v>
      </c>
      <c r="G20" s="141">
        <f t="shared" si="3"/>
        <v>85438.28623942594</v>
      </c>
      <c r="H20" s="44">
        <f t="shared" si="18"/>
        <v>48237.83801833731</v>
      </c>
      <c r="I20" s="44">
        <f t="shared" si="4"/>
        <v>52098.4935567951</v>
      </c>
      <c r="J20" s="44">
        <f t="shared" si="4"/>
        <v>11992.899018836059</v>
      </c>
      <c r="K20" s="44">
        <f t="shared" si="4"/>
        <v>13119.750241432015</v>
      </c>
      <c r="L20" s="44">
        <f t="shared" si="4"/>
        <v>6811.0130100821925</v>
      </c>
      <c r="M20" s="44">
        <f t="shared" si="4"/>
        <v>9190.224641967527</v>
      </c>
      <c r="N20" s="44">
        <f t="shared" si="4"/>
        <v>0</v>
      </c>
      <c r="O20" s="44">
        <f t="shared" si="4"/>
        <v>0</v>
      </c>
      <c r="P20" s="141">
        <f t="shared" si="5"/>
        <v>67041.75004725557</v>
      </c>
      <c r="Q20" s="140">
        <f t="shared" si="6"/>
        <v>74408.46844019464</v>
      </c>
      <c r="R20" s="141">
        <f t="shared" si="7"/>
        <v>7366.718392939074</v>
      </c>
      <c r="S20" s="148">
        <v>0</v>
      </c>
      <c r="T20" s="148">
        <v>0</v>
      </c>
      <c r="U20" s="148">
        <v>0</v>
      </c>
      <c r="V20" s="388">
        <f t="shared" si="19"/>
        <v>0.0359</v>
      </c>
      <c r="W20" s="58">
        <f t="shared" si="20"/>
        <v>97685.763132213</v>
      </c>
      <c r="X20" s="58">
        <f t="shared" si="21"/>
        <v>59993.71120652051</v>
      </c>
      <c r="Y20" s="58">
        <f t="shared" si="8"/>
        <v>37692.051925692496</v>
      </c>
      <c r="Z20" s="58">
        <f t="shared" si="22"/>
        <v>1633441.9649690292</v>
      </c>
      <c r="AA20" s="58">
        <f t="shared" si="9"/>
        <v>23530.664524579977</v>
      </c>
      <c r="AB20" s="58">
        <f t="shared" si="10"/>
        <v>1550.0358377302684</v>
      </c>
      <c r="AC20" s="58">
        <f t="shared" si="11"/>
        <v>1550.0358377302684</v>
      </c>
      <c r="AD20" s="58">
        <f t="shared" si="12"/>
        <v>10760.012633173172</v>
      </c>
      <c r="AE20" s="58">
        <v>435</v>
      </c>
      <c r="AF20" s="217">
        <f t="shared" si="13"/>
        <v>97819.46003973419</v>
      </c>
      <c r="AG20" s="141">
        <f t="shared" si="0"/>
        <v>12381.173800308243</v>
      </c>
      <c r="AH20" s="318">
        <v>0</v>
      </c>
      <c r="AI20" s="217">
        <v>0</v>
      </c>
      <c r="AJ20" s="217">
        <v>0</v>
      </c>
      <c r="AK20" s="217">
        <f t="shared" si="24"/>
        <v>10760.012633173172</v>
      </c>
      <c r="AL20" s="217">
        <v>0</v>
      </c>
      <c r="AM20" s="322">
        <f t="shared" si="14"/>
        <v>7366.718392939074</v>
      </c>
      <c r="AN20" s="322">
        <v>0</v>
      </c>
      <c r="AO20" s="322">
        <v>0</v>
      </c>
      <c r="AP20" s="322">
        <v>0</v>
      </c>
      <c r="AQ20" s="139">
        <f t="shared" si="15"/>
        <v>18126.731026112247</v>
      </c>
      <c r="AR20" s="139">
        <f t="shared" si="23"/>
        <v>3626.0737415405692</v>
      </c>
      <c r="AS20" s="328" t="s">
        <v>89</v>
      </c>
      <c r="AT20" s="148" t="s">
        <v>89</v>
      </c>
      <c r="AU20" s="44" t="s">
        <v>89</v>
      </c>
    </row>
    <row r="21" spans="1:47" ht="12.75">
      <c r="A21" s="45">
        <v>15</v>
      </c>
      <c r="B21" s="332">
        <f t="shared" si="1"/>
        <v>0.017</v>
      </c>
      <c r="C21" s="189">
        <f t="shared" si="16"/>
        <v>89055.9459425778</v>
      </c>
      <c r="D21" s="137">
        <v>0.03</v>
      </c>
      <c r="E21" s="44">
        <f t="shared" si="2"/>
        <v>-2671.678378277334</v>
      </c>
      <c r="F21" s="44">
        <f t="shared" si="17"/>
        <v>506.4695411957215</v>
      </c>
      <c r="G21" s="141">
        <f t="shared" si="3"/>
        <v>86890.7371054962</v>
      </c>
      <c r="H21" s="44">
        <f t="shared" si="18"/>
        <v>48237.83801833731</v>
      </c>
      <c r="I21" s="44">
        <f t="shared" si="4"/>
        <v>52098.4935567951</v>
      </c>
      <c r="J21" s="44">
        <f t="shared" si="4"/>
        <v>11992.899018836059</v>
      </c>
      <c r="K21" s="44">
        <f t="shared" si="4"/>
        <v>13119.750241432015</v>
      </c>
      <c r="L21" s="44">
        <f t="shared" si="4"/>
        <v>6811.0130100821925</v>
      </c>
      <c r="M21" s="44">
        <f t="shared" si="4"/>
        <v>9190.224641967527</v>
      </c>
      <c r="N21" s="44">
        <f t="shared" si="4"/>
        <v>0</v>
      </c>
      <c r="O21" s="44">
        <f t="shared" si="4"/>
        <v>0</v>
      </c>
      <c r="P21" s="141">
        <f t="shared" si="5"/>
        <v>67041.75004725557</v>
      </c>
      <c r="Q21" s="140">
        <f t="shared" si="6"/>
        <v>74408.46844019464</v>
      </c>
      <c r="R21" s="141">
        <f t="shared" si="7"/>
        <v>7366.718392939074</v>
      </c>
      <c r="S21" s="148">
        <v>0</v>
      </c>
      <c r="T21" s="148">
        <v>0</v>
      </c>
      <c r="U21" s="148">
        <v>0</v>
      </c>
      <c r="V21" s="388">
        <f t="shared" si="19"/>
        <v>0.0359</v>
      </c>
      <c r="W21" s="58">
        <f t="shared" si="20"/>
        <v>97685.763132213</v>
      </c>
      <c r="X21" s="58">
        <f t="shared" si="21"/>
        <v>58640.56654238815</v>
      </c>
      <c r="Y21" s="58">
        <f t="shared" si="8"/>
        <v>39045.19658982485</v>
      </c>
      <c r="Z21" s="58">
        <f t="shared" si="22"/>
        <v>1594396.7683792044</v>
      </c>
      <c r="AA21" s="58">
        <f t="shared" si="9"/>
        <v>23930.68582149784</v>
      </c>
      <c r="AB21" s="58">
        <f t="shared" si="10"/>
        <v>1576.386446971683</v>
      </c>
      <c r="AC21" s="58">
        <f t="shared" si="11"/>
        <v>1576.386446971683</v>
      </c>
      <c r="AD21" s="58">
        <f t="shared" si="12"/>
        <v>10942.932847937116</v>
      </c>
      <c r="AE21" s="58">
        <v>435</v>
      </c>
      <c r="AF21" s="217">
        <f t="shared" si="13"/>
        <v>97101.95810576646</v>
      </c>
      <c r="AG21" s="141">
        <f t="shared" si="0"/>
        <v>10211.221000270263</v>
      </c>
      <c r="AH21" s="318">
        <v>0</v>
      </c>
      <c r="AI21" s="217">
        <v>0</v>
      </c>
      <c r="AJ21" s="217">
        <v>0</v>
      </c>
      <c r="AK21" s="217">
        <f t="shared" si="24"/>
        <v>10942.932847937116</v>
      </c>
      <c r="AL21" s="217">
        <v>0</v>
      </c>
      <c r="AM21" s="322">
        <f t="shared" si="14"/>
        <v>7366.718392939074</v>
      </c>
      <c r="AN21" s="322">
        <v>0</v>
      </c>
      <c r="AO21" s="322">
        <v>0</v>
      </c>
      <c r="AP21" s="322">
        <v>0</v>
      </c>
      <c r="AQ21" s="139">
        <f t="shared" si="15"/>
        <v>18309.651240876192</v>
      </c>
      <c r="AR21" s="139">
        <f t="shared" si="23"/>
        <v>3626.0737415405692</v>
      </c>
      <c r="AS21" s="328" t="s">
        <v>89</v>
      </c>
      <c r="AT21" s="148" t="s">
        <v>89</v>
      </c>
      <c r="AU21" s="44" t="s">
        <v>89</v>
      </c>
    </row>
    <row r="22" spans="1:47" ht="12.75">
      <c r="A22" s="45">
        <v>16</v>
      </c>
      <c r="B22" s="332">
        <f t="shared" si="1"/>
        <v>0.017</v>
      </c>
      <c r="C22" s="189">
        <f t="shared" si="16"/>
        <v>90569.89702360163</v>
      </c>
      <c r="D22" s="137">
        <v>0.03</v>
      </c>
      <c r="E22" s="44">
        <f t="shared" si="2"/>
        <v>-2717.0969107080487</v>
      </c>
      <c r="F22" s="44">
        <f t="shared" si="17"/>
        <v>515.0795233960488</v>
      </c>
      <c r="G22" s="141">
        <f t="shared" si="3"/>
        <v>88367.87963628964</v>
      </c>
      <c r="H22" s="44">
        <f t="shared" si="18"/>
        <v>48237.83801833731</v>
      </c>
      <c r="I22" s="44">
        <f t="shared" si="4"/>
        <v>52098.4935567951</v>
      </c>
      <c r="J22" s="44">
        <f t="shared" si="4"/>
        <v>11992.899018836059</v>
      </c>
      <c r="K22" s="44">
        <f t="shared" si="4"/>
        <v>13119.750241432015</v>
      </c>
      <c r="L22" s="44">
        <f t="shared" si="4"/>
        <v>6811.0130100821925</v>
      </c>
      <c r="M22" s="44">
        <f t="shared" si="4"/>
        <v>9190.224641967527</v>
      </c>
      <c r="N22" s="44">
        <f t="shared" si="4"/>
        <v>0</v>
      </c>
      <c r="O22" s="44">
        <f t="shared" si="4"/>
        <v>0</v>
      </c>
      <c r="P22" s="141">
        <f t="shared" si="5"/>
        <v>67041.75004725557</v>
      </c>
      <c r="Q22" s="140">
        <f t="shared" si="6"/>
        <v>74408.46844019464</v>
      </c>
      <c r="R22" s="141">
        <f t="shared" si="7"/>
        <v>7366.718392939074</v>
      </c>
      <c r="S22" s="148">
        <v>0</v>
      </c>
      <c r="T22" s="148">
        <v>0</v>
      </c>
      <c r="U22" s="148">
        <v>0</v>
      </c>
      <c r="V22" s="388">
        <f t="shared" si="19"/>
        <v>0.0359</v>
      </c>
      <c r="W22" s="58">
        <f t="shared" si="20"/>
        <v>97685.763132213</v>
      </c>
      <c r="X22" s="58">
        <f t="shared" si="21"/>
        <v>57238.843984813444</v>
      </c>
      <c r="Y22" s="58">
        <f t="shared" si="8"/>
        <v>40446.91914739956</v>
      </c>
      <c r="Z22" s="58">
        <f t="shared" si="22"/>
        <v>1553949.849231805</v>
      </c>
      <c r="AA22" s="58">
        <f t="shared" si="9"/>
        <v>24337.5074804633</v>
      </c>
      <c r="AB22" s="58">
        <f t="shared" si="10"/>
        <v>1603.1850165702017</v>
      </c>
      <c r="AC22" s="58">
        <f t="shared" si="11"/>
        <v>1603.1850165702017</v>
      </c>
      <c r="AD22" s="58">
        <f t="shared" si="12"/>
        <v>11128.962706352047</v>
      </c>
      <c r="AE22" s="58">
        <v>435</v>
      </c>
      <c r="AF22" s="217">
        <f t="shared" si="13"/>
        <v>96346.6842047692</v>
      </c>
      <c r="AG22" s="141">
        <f t="shared" si="0"/>
        <v>7978.804568479565</v>
      </c>
      <c r="AH22" s="318">
        <v>0</v>
      </c>
      <c r="AI22" s="217">
        <v>0</v>
      </c>
      <c r="AJ22" s="217">
        <v>0</v>
      </c>
      <c r="AK22" s="217">
        <f t="shared" si="24"/>
        <v>11128.962706352047</v>
      </c>
      <c r="AL22" s="217">
        <v>0</v>
      </c>
      <c r="AM22" s="322">
        <f t="shared" si="14"/>
        <v>7366.718392939074</v>
      </c>
      <c r="AN22" s="322">
        <v>0</v>
      </c>
      <c r="AO22" s="322">
        <v>0</v>
      </c>
      <c r="AP22" s="322">
        <v>0</v>
      </c>
      <c r="AQ22" s="139">
        <f t="shared" si="15"/>
        <v>18495.68109929112</v>
      </c>
      <c r="AR22" s="139">
        <f t="shared" si="23"/>
        <v>3626.0737415405692</v>
      </c>
      <c r="AS22" s="328" t="s">
        <v>89</v>
      </c>
      <c r="AT22" s="148" t="s">
        <v>89</v>
      </c>
      <c r="AU22" s="44" t="s">
        <v>89</v>
      </c>
    </row>
    <row r="23" spans="1:47" ht="12.75">
      <c r="A23" s="45">
        <v>17</v>
      </c>
      <c r="B23" s="332">
        <f t="shared" si="1"/>
        <v>0.017</v>
      </c>
      <c r="C23" s="189">
        <f t="shared" si="16"/>
        <v>92109.58527300286</v>
      </c>
      <c r="D23" s="137">
        <v>0.03</v>
      </c>
      <c r="E23" s="44">
        <f t="shared" si="2"/>
        <v>-2763.2875581900857</v>
      </c>
      <c r="F23" s="44">
        <f t="shared" si="17"/>
        <v>523.8358752937817</v>
      </c>
      <c r="G23" s="141">
        <f t="shared" si="3"/>
        <v>89870.13359010655</v>
      </c>
      <c r="H23" s="44">
        <f t="shared" si="18"/>
        <v>48237.83801833731</v>
      </c>
      <c r="I23" s="44">
        <f t="shared" si="4"/>
        <v>52098.4935567951</v>
      </c>
      <c r="J23" s="44">
        <f t="shared" si="4"/>
        <v>11992.899018836059</v>
      </c>
      <c r="K23" s="44">
        <f t="shared" si="4"/>
        <v>13119.750241432015</v>
      </c>
      <c r="L23" s="44">
        <f t="shared" si="4"/>
        <v>6811.0130100821925</v>
      </c>
      <c r="M23" s="44">
        <f t="shared" si="4"/>
        <v>9190.224641967527</v>
      </c>
      <c r="N23" s="44">
        <f t="shared" si="4"/>
        <v>0</v>
      </c>
      <c r="O23" s="44">
        <f t="shared" si="4"/>
        <v>0</v>
      </c>
      <c r="P23" s="141">
        <f t="shared" si="5"/>
        <v>67041.75004725557</v>
      </c>
      <c r="Q23" s="140">
        <f t="shared" si="6"/>
        <v>74408.46844019464</v>
      </c>
      <c r="R23" s="141">
        <f t="shared" si="7"/>
        <v>7366.718392939074</v>
      </c>
      <c r="S23" s="148">
        <v>0</v>
      </c>
      <c r="T23" s="148">
        <v>0</v>
      </c>
      <c r="U23" s="148">
        <v>0</v>
      </c>
      <c r="V23" s="388">
        <f t="shared" si="19"/>
        <v>0.0359</v>
      </c>
      <c r="W23" s="58">
        <f t="shared" si="20"/>
        <v>97685.763132213</v>
      </c>
      <c r="X23" s="58">
        <f t="shared" si="21"/>
        <v>55786.7995874218</v>
      </c>
      <c r="Y23" s="58">
        <f t="shared" si="8"/>
        <v>41898.9635447912</v>
      </c>
      <c r="Z23" s="58">
        <f t="shared" si="22"/>
        <v>1512050.8856870139</v>
      </c>
      <c r="AA23" s="58">
        <f t="shared" si="9"/>
        <v>24751.245107631177</v>
      </c>
      <c r="AB23" s="58">
        <f t="shared" si="10"/>
        <v>1630.439161851895</v>
      </c>
      <c r="AC23" s="58">
        <f t="shared" si="11"/>
        <v>1630.439161851895</v>
      </c>
      <c r="AD23" s="58">
        <f t="shared" si="12"/>
        <v>11318.155072360032</v>
      </c>
      <c r="AE23" s="58">
        <v>435</v>
      </c>
      <c r="AF23" s="217">
        <f t="shared" si="13"/>
        <v>95552.07809111683</v>
      </c>
      <c r="AG23" s="141">
        <f t="shared" si="0"/>
        <v>5681.944501010279</v>
      </c>
      <c r="AH23" s="318">
        <v>0</v>
      </c>
      <c r="AI23" s="217">
        <v>0</v>
      </c>
      <c r="AJ23" s="217">
        <v>0</v>
      </c>
      <c r="AK23" s="217">
        <f t="shared" si="24"/>
        <v>11318.155072360032</v>
      </c>
      <c r="AL23" s="217">
        <v>0</v>
      </c>
      <c r="AM23" s="322">
        <f t="shared" si="14"/>
        <v>7366.718392939074</v>
      </c>
      <c r="AN23" s="322">
        <v>0</v>
      </c>
      <c r="AO23" s="322">
        <v>0</v>
      </c>
      <c r="AP23" s="322">
        <v>0</v>
      </c>
      <c r="AQ23" s="139">
        <f t="shared" si="15"/>
        <v>18684.873465299104</v>
      </c>
      <c r="AR23" s="139">
        <f t="shared" si="23"/>
        <v>3626.0737415405692</v>
      </c>
      <c r="AS23" s="328" t="s">
        <v>89</v>
      </c>
      <c r="AT23" s="148" t="s">
        <v>89</v>
      </c>
      <c r="AU23" s="44" t="s">
        <v>89</v>
      </c>
    </row>
    <row r="24" spans="1:47" ht="12.75">
      <c r="A24" s="45">
        <v>18</v>
      </c>
      <c r="B24" s="332">
        <f t="shared" si="1"/>
        <v>0.017</v>
      </c>
      <c r="C24" s="189">
        <f t="shared" si="16"/>
        <v>93675.4482226439</v>
      </c>
      <c r="D24" s="137">
        <v>0.03</v>
      </c>
      <c r="E24" s="44">
        <f t="shared" si="2"/>
        <v>-2810.263446679317</v>
      </c>
      <c r="F24" s="44">
        <f t="shared" si="17"/>
        <v>532.7410851737759</v>
      </c>
      <c r="G24" s="141">
        <f t="shared" si="3"/>
        <v>91397.92586113837</v>
      </c>
      <c r="H24" s="44">
        <f t="shared" si="18"/>
        <v>48237.83801833731</v>
      </c>
      <c r="I24" s="44">
        <f t="shared" si="18"/>
        <v>52098.4935567951</v>
      </c>
      <c r="J24" s="44">
        <f t="shared" si="18"/>
        <v>11992.899018836059</v>
      </c>
      <c r="K24" s="44">
        <f t="shared" si="18"/>
        <v>13119.750241432015</v>
      </c>
      <c r="L24" s="44">
        <f t="shared" si="18"/>
        <v>6811.0130100821925</v>
      </c>
      <c r="M24" s="44">
        <f t="shared" si="18"/>
        <v>9190.224641967527</v>
      </c>
      <c r="N24" s="44">
        <f t="shared" si="18"/>
        <v>0</v>
      </c>
      <c r="O24" s="44">
        <f t="shared" si="18"/>
        <v>0</v>
      </c>
      <c r="P24" s="141">
        <f t="shared" si="5"/>
        <v>67041.75004725557</v>
      </c>
      <c r="Q24" s="140">
        <f t="shared" si="6"/>
        <v>74408.46844019464</v>
      </c>
      <c r="R24" s="141">
        <f t="shared" si="7"/>
        <v>7366.718392939074</v>
      </c>
      <c r="S24" s="148">
        <v>0</v>
      </c>
      <c r="T24" s="148">
        <v>0</v>
      </c>
      <c r="U24" s="148">
        <v>0</v>
      </c>
      <c r="V24" s="388">
        <f t="shared" si="19"/>
        <v>0.0359</v>
      </c>
      <c r="W24" s="58">
        <f t="shared" si="20"/>
        <v>97685.763132213</v>
      </c>
      <c r="X24" s="58">
        <f t="shared" si="21"/>
        <v>54282.6267961638</v>
      </c>
      <c r="Y24" s="58">
        <f t="shared" si="8"/>
        <v>43403.1363360492</v>
      </c>
      <c r="Z24" s="58">
        <f t="shared" si="22"/>
        <v>1468647.7493509646</v>
      </c>
      <c r="AA24" s="58">
        <f t="shared" si="9"/>
        <v>25172.016274460908</v>
      </c>
      <c r="AB24" s="58">
        <f t="shared" si="10"/>
        <v>1658.1566276033773</v>
      </c>
      <c r="AC24" s="58">
        <f t="shared" si="11"/>
        <v>1658.1566276033773</v>
      </c>
      <c r="AD24" s="58">
        <f t="shared" si="12"/>
        <v>11510.563708590153</v>
      </c>
      <c r="AE24" s="58">
        <v>435</v>
      </c>
      <c r="AF24" s="217">
        <f t="shared" si="13"/>
        <v>94716.5200344216</v>
      </c>
      <c r="AG24" s="141">
        <f t="shared" si="0"/>
        <v>3318.594173283229</v>
      </c>
      <c r="AH24" s="318">
        <v>0</v>
      </c>
      <c r="AI24" s="217">
        <v>0</v>
      </c>
      <c r="AJ24" s="217">
        <v>0</v>
      </c>
      <c r="AK24" s="217">
        <f t="shared" si="24"/>
        <v>11510.563708590153</v>
      </c>
      <c r="AL24" s="217">
        <v>0</v>
      </c>
      <c r="AM24" s="322">
        <f t="shared" si="14"/>
        <v>7366.718392939074</v>
      </c>
      <c r="AN24" s="322">
        <v>0</v>
      </c>
      <c r="AO24" s="322">
        <v>0</v>
      </c>
      <c r="AP24" s="322">
        <v>0</v>
      </c>
      <c r="AQ24" s="139">
        <f t="shared" si="15"/>
        <v>18877.28210152923</v>
      </c>
      <c r="AR24" s="139">
        <f t="shared" si="23"/>
        <v>3626.0737415405692</v>
      </c>
      <c r="AS24" s="328" t="s">
        <v>89</v>
      </c>
      <c r="AT24" s="148" t="s">
        <v>89</v>
      </c>
      <c r="AU24" s="44" t="s">
        <v>89</v>
      </c>
    </row>
    <row r="25" spans="1:47" ht="12.75">
      <c r="A25" s="45">
        <v>19</v>
      </c>
      <c r="B25" s="332">
        <f t="shared" si="1"/>
        <v>0.017</v>
      </c>
      <c r="C25" s="189">
        <f t="shared" si="16"/>
        <v>95267.93084242885</v>
      </c>
      <c r="D25" s="137">
        <v>0.03</v>
      </c>
      <c r="E25" s="44">
        <f t="shared" si="2"/>
        <v>-2858.0379252728653</v>
      </c>
      <c r="F25" s="44">
        <f t="shared" si="17"/>
        <v>541.7976836217301</v>
      </c>
      <c r="G25" s="141">
        <f t="shared" si="3"/>
        <v>92951.69060077771</v>
      </c>
      <c r="H25" s="44">
        <f t="shared" si="18"/>
        <v>48237.83801833731</v>
      </c>
      <c r="I25" s="44">
        <f t="shared" si="18"/>
        <v>52098.4935567951</v>
      </c>
      <c r="J25" s="44">
        <f t="shared" si="18"/>
        <v>11992.899018836059</v>
      </c>
      <c r="K25" s="44">
        <f t="shared" si="18"/>
        <v>13119.750241432015</v>
      </c>
      <c r="L25" s="44">
        <f t="shared" si="18"/>
        <v>6811.0130100821925</v>
      </c>
      <c r="M25" s="44">
        <f t="shared" si="18"/>
        <v>9190.224641967527</v>
      </c>
      <c r="N25" s="44">
        <f t="shared" si="18"/>
        <v>0</v>
      </c>
      <c r="O25" s="44">
        <f t="shared" si="18"/>
        <v>0</v>
      </c>
      <c r="P25" s="141">
        <f t="shared" si="5"/>
        <v>67041.75004725557</v>
      </c>
      <c r="Q25" s="140">
        <f t="shared" si="6"/>
        <v>74408.46844019464</v>
      </c>
      <c r="R25" s="141">
        <f t="shared" si="7"/>
        <v>7366.718392939074</v>
      </c>
      <c r="S25" s="148">
        <v>0</v>
      </c>
      <c r="T25" s="148">
        <v>0</v>
      </c>
      <c r="U25" s="148">
        <v>0</v>
      </c>
      <c r="V25" s="388">
        <f t="shared" si="19"/>
        <v>0.0359</v>
      </c>
      <c r="W25" s="58">
        <f t="shared" si="20"/>
        <v>97685.763132213</v>
      </c>
      <c r="X25" s="58">
        <f t="shared" si="21"/>
        <v>52724.45420169963</v>
      </c>
      <c r="Y25" s="58">
        <f t="shared" si="8"/>
        <v>44961.308930513376</v>
      </c>
      <c r="Z25" s="58">
        <f t="shared" si="22"/>
        <v>1423686.440420451</v>
      </c>
      <c r="AA25" s="58">
        <f t="shared" si="9"/>
        <v>25599.940551126743</v>
      </c>
      <c r="AB25" s="58">
        <f t="shared" si="10"/>
        <v>1686.3452902726347</v>
      </c>
      <c r="AC25" s="58">
        <f t="shared" si="11"/>
        <v>1686.3452902726347</v>
      </c>
      <c r="AD25" s="58">
        <f t="shared" si="12"/>
        <v>11706.243291636185</v>
      </c>
      <c r="AE25" s="58">
        <v>435</v>
      </c>
      <c r="AF25" s="217">
        <f t="shared" si="13"/>
        <v>93838.32862500781</v>
      </c>
      <c r="AG25" s="141">
        <f t="shared" si="0"/>
        <v>886.6380242300947</v>
      </c>
      <c r="AH25" s="318">
        <v>0</v>
      </c>
      <c r="AI25" s="217">
        <v>0</v>
      </c>
      <c r="AJ25" s="217">
        <v>0</v>
      </c>
      <c r="AK25" s="217">
        <f t="shared" si="24"/>
        <v>11706.243291636185</v>
      </c>
      <c r="AL25" s="217">
        <v>0</v>
      </c>
      <c r="AM25" s="322">
        <f t="shared" si="14"/>
        <v>7366.718392939074</v>
      </c>
      <c r="AN25" s="322">
        <v>0</v>
      </c>
      <c r="AO25" s="322">
        <v>0</v>
      </c>
      <c r="AP25" s="322">
        <v>0</v>
      </c>
      <c r="AQ25" s="139">
        <f t="shared" si="15"/>
        <v>19072.96168457526</v>
      </c>
      <c r="AR25" s="139">
        <f t="shared" si="23"/>
        <v>3626.0737415405692</v>
      </c>
      <c r="AS25" s="328" t="s">
        <v>89</v>
      </c>
      <c r="AT25" s="148" t="s">
        <v>89</v>
      </c>
      <c r="AU25" s="44" t="s">
        <v>89</v>
      </c>
    </row>
    <row r="26" spans="1:47" ht="12.75">
      <c r="A26" s="45">
        <v>20</v>
      </c>
      <c r="B26" s="332">
        <f t="shared" si="1"/>
        <v>0.017</v>
      </c>
      <c r="C26" s="189">
        <f t="shared" si="16"/>
        <v>96887.48566675013</v>
      </c>
      <c r="D26" s="137">
        <v>0.03</v>
      </c>
      <c r="E26" s="44">
        <f t="shared" si="2"/>
        <v>-2906.624570002504</v>
      </c>
      <c r="F26" s="44">
        <f t="shared" si="17"/>
        <v>551.0082442432995</v>
      </c>
      <c r="G26" s="141">
        <f t="shared" si="3"/>
        <v>94531.86934099093</v>
      </c>
      <c r="H26" s="44">
        <f t="shared" si="18"/>
        <v>48237.83801833731</v>
      </c>
      <c r="I26" s="44">
        <f t="shared" si="18"/>
        <v>52098.4935567951</v>
      </c>
      <c r="J26" s="44">
        <f t="shared" si="18"/>
        <v>11992.899018836059</v>
      </c>
      <c r="K26" s="44">
        <f t="shared" si="18"/>
        <v>13119.750241432015</v>
      </c>
      <c r="L26" s="44">
        <f t="shared" si="18"/>
        <v>6811.0130100821925</v>
      </c>
      <c r="M26" s="44">
        <f t="shared" si="18"/>
        <v>9190.224641967527</v>
      </c>
      <c r="N26" s="44">
        <f t="shared" si="18"/>
        <v>0</v>
      </c>
      <c r="O26" s="44">
        <f t="shared" si="18"/>
        <v>0</v>
      </c>
      <c r="P26" s="141">
        <f t="shared" si="5"/>
        <v>67041.75004725557</v>
      </c>
      <c r="Q26" s="140">
        <f t="shared" si="6"/>
        <v>74408.46844019464</v>
      </c>
      <c r="R26" s="141">
        <f t="shared" si="7"/>
        <v>7366.718392939074</v>
      </c>
      <c r="S26" s="148">
        <v>0</v>
      </c>
      <c r="T26" s="148">
        <v>0</v>
      </c>
      <c r="U26" s="148">
        <v>0</v>
      </c>
      <c r="V26" s="388">
        <f t="shared" si="19"/>
        <v>0.0359</v>
      </c>
      <c r="W26" s="58">
        <f t="shared" si="20"/>
        <v>97685.763132213</v>
      </c>
      <c r="X26" s="58">
        <f t="shared" si="21"/>
        <v>51110.343211094194</v>
      </c>
      <c r="Y26" s="58">
        <f t="shared" si="8"/>
        <v>46575.41992111881</v>
      </c>
      <c r="Z26" s="58">
        <f t="shared" si="22"/>
        <v>1377111.0204993323</v>
      </c>
      <c r="AA26" s="58">
        <f t="shared" si="9"/>
        <v>26035.139540495897</v>
      </c>
      <c r="AB26" s="58">
        <f t="shared" si="10"/>
        <v>1715.0131602072695</v>
      </c>
      <c r="AC26" s="58">
        <f t="shared" si="11"/>
        <v>1715.0131602072695</v>
      </c>
      <c r="AD26" s="58">
        <f t="shared" si="12"/>
        <v>11905.249427594</v>
      </c>
      <c r="AE26" s="58">
        <v>435</v>
      </c>
      <c r="AF26" s="217">
        <f t="shared" si="13"/>
        <v>92915.75849959861</v>
      </c>
      <c r="AG26" s="141">
        <f t="shared" si="0"/>
        <v>-1616.1108413923212</v>
      </c>
      <c r="AH26" s="318">
        <v>0</v>
      </c>
      <c r="AI26" s="217">
        <v>0</v>
      </c>
      <c r="AJ26" s="217">
        <v>0</v>
      </c>
      <c r="AK26" s="217">
        <f t="shared" si="24"/>
        <v>11905.249427594</v>
      </c>
      <c r="AL26" s="217">
        <v>0</v>
      </c>
      <c r="AM26" s="322">
        <f t="shared" si="14"/>
        <v>7366.718392939074</v>
      </c>
      <c r="AN26" s="322">
        <v>0</v>
      </c>
      <c r="AO26" s="322">
        <v>0</v>
      </c>
      <c r="AP26" s="322">
        <v>0</v>
      </c>
      <c r="AQ26" s="139">
        <f t="shared" si="15"/>
        <v>19271.967820533075</v>
      </c>
      <c r="AR26" s="139">
        <f t="shared" si="23"/>
        <v>3626.0737415405692</v>
      </c>
      <c r="AS26" s="328" t="s">
        <v>89</v>
      </c>
      <c r="AT26" s="148" t="s">
        <v>89</v>
      </c>
      <c r="AU26" s="44" t="s">
        <v>89</v>
      </c>
    </row>
    <row r="27" spans="1:47" ht="12.75">
      <c r="A27" s="45">
        <v>21</v>
      </c>
      <c r="B27" s="332">
        <f t="shared" si="1"/>
        <v>0.017</v>
      </c>
      <c r="C27" s="189">
        <f t="shared" si="16"/>
        <v>98534.57292308488</v>
      </c>
      <c r="D27" s="137">
        <v>0.03</v>
      </c>
      <c r="E27" s="44">
        <f t="shared" si="2"/>
        <v>-2956.0371876925465</v>
      </c>
      <c r="F27" s="44">
        <f t="shared" si="17"/>
        <v>560.3753843954356</v>
      </c>
      <c r="G27" s="141">
        <f t="shared" si="3"/>
        <v>96138.91111978776</v>
      </c>
      <c r="H27" s="44">
        <f t="shared" si="18"/>
        <v>48237.83801833731</v>
      </c>
      <c r="I27" s="44">
        <f t="shared" si="18"/>
        <v>52098.4935567951</v>
      </c>
      <c r="J27" s="44">
        <f t="shared" si="18"/>
        <v>11992.899018836059</v>
      </c>
      <c r="K27" s="44">
        <f t="shared" si="18"/>
        <v>13119.750241432015</v>
      </c>
      <c r="L27" s="44">
        <f t="shared" si="18"/>
        <v>6811.0130100821925</v>
      </c>
      <c r="M27" s="44">
        <f t="shared" si="18"/>
        <v>9190.224641967527</v>
      </c>
      <c r="N27" s="44">
        <f t="shared" si="18"/>
        <v>0</v>
      </c>
      <c r="O27" s="44">
        <f t="shared" si="18"/>
        <v>0</v>
      </c>
      <c r="P27" s="141">
        <f t="shared" si="5"/>
        <v>67041.75004725557</v>
      </c>
      <c r="Q27" s="140">
        <f t="shared" si="6"/>
        <v>74408.46844019464</v>
      </c>
      <c r="R27" s="141">
        <f t="shared" si="7"/>
        <v>7366.718392939074</v>
      </c>
      <c r="S27" s="148">
        <v>0</v>
      </c>
      <c r="T27" s="148">
        <v>0</v>
      </c>
      <c r="U27" s="148">
        <v>0</v>
      </c>
      <c r="V27" s="388">
        <f t="shared" si="19"/>
        <v>0.0359</v>
      </c>
      <c r="W27" s="58">
        <f t="shared" si="20"/>
        <v>97685.763132213</v>
      </c>
      <c r="X27" s="58">
        <f t="shared" si="21"/>
        <v>49438.28563592603</v>
      </c>
      <c r="Y27" s="58">
        <f t="shared" si="8"/>
        <v>48247.47749628697</v>
      </c>
      <c r="Z27" s="58">
        <f t="shared" si="22"/>
        <v>1328863.5430030455</v>
      </c>
      <c r="AA27" s="58">
        <f t="shared" si="9"/>
        <v>26477.736912684326</v>
      </c>
      <c r="AB27" s="58">
        <f t="shared" si="10"/>
        <v>1744.168383930793</v>
      </c>
      <c r="AC27" s="58">
        <f t="shared" si="11"/>
        <v>1744.168383930793</v>
      </c>
      <c r="AD27" s="58">
        <f t="shared" si="12"/>
        <v>12107.638667863099</v>
      </c>
      <c r="AE27" s="58">
        <v>435</v>
      </c>
      <c r="AF27" s="217">
        <f t="shared" si="13"/>
        <v>91946.99798433504</v>
      </c>
      <c r="AG27" s="141">
        <f t="shared" si="0"/>
        <v>-4191.91313545272</v>
      </c>
      <c r="AH27" s="318">
        <v>0</v>
      </c>
      <c r="AI27" s="217">
        <v>0</v>
      </c>
      <c r="AJ27" s="217">
        <v>0</v>
      </c>
      <c r="AK27" s="217">
        <f t="shared" si="24"/>
        <v>12107.638667863099</v>
      </c>
      <c r="AL27" s="217">
        <v>0</v>
      </c>
      <c r="AM27" s="322">
        <f t="shared" si="14"/>
        <v>7366.718392939074</v>
      </c>
      <c r="AN27" s="322">
        <v>0</v>
      </c>
      <c r="AO27" s="322">
        <v>0</v>
      </c>
      <c r="AP27" s="322">
        <v>0</v>
      </c>
      <c r="AQ27" s="139">
        <f t="shared" si="15"/>
        <v>19474.357060802173</v>
      </c>
      <c r="AR27" s="139">
        <f t="shared" si="23"/>
        <v>3626.0737415405692</v>
      </c>
      <c r="AS27" s="328"/>
      <c r="AT27" s="148"/>
      <c r="AU27" s="44"/>
    </row>
    <row r="28" spans="1:47" ht="12.75">
      <c r="A28" s="45">
        <v>22</v>
      </c>
      <c r="B28" s="332">
        <f t="shared" si="1"/>
        <v>0.017</v>
      </c>
      <c r="C28" s="189">
        <f t="shared" si="16"/>
        <v>100209.66066277733</v>
      </c>
      <c r="D28" s="137">
        <v>0.03</v>
      </c>
      <c r="E28" s="44">
        <f t="shared" si="2"/>
        <v>-3006.28981988332</v>
      </c>
      <c r="F28" s="44">
        <f t="shared" si="17"/>
        <v>569.901765930158</v>
      </c>
      <c r="G28" s="141">
        <f t="shared" si="3"/>
        <v>97773.27260882418</v>
      </c>
      <c r="H28" s="44">
        <f t="shared" si="18"/>
        <v>48237.83801833731</v>
      </c>
      <c r="I28" s="44">
        <f t="shared" si="18"/>
        <v>52098.4935567951</v>
      </c>
      <c r="J28" s="44">
        <f t="shared" si="18"/>
        <v>11992.899018836059</v>
      </c>
      <c r="K28" s="44">
        <f t="shared" si="18"/>
        <v>13119.750241432015</v>
      </c>
      <c r="L28" s="44">
        <f t="shared" si="18"/>
        <v>6811.0130100821925</v>
      </c>
      <c r="M28" s="44">
        <f t="shared" si="18"/>
        <v>9190.224641967527</v>
      </c>
      <c r="N28" s="44">
        <f t="shared" si="18"/>
        <v>0</v>
      </c>
      <c r="O28" s="44">
        <f t="shared" si="18"/>
        <v>0</v>
      </c>
      <c r="P28" s="141">
        <f t="shared" si="5"/>
        <v>67041.75004725557</v>
      </c>
      <c r="Q28" s="140">
        <f t="shared" si="6"/>
        <v>74408.46844019464</v>
      </c>
      <c r="R28" s="141">
        <f t="shared" si="7"/>
        <v>7366.718392939074</v>
      </c>
      <c r="S28" s="148">
        <v>0</v>
      </c>
      <c r="T28" s="148">
        <v>0</v>
      </c>
      <c r="U28" s="148">
        <v>0</v>
      </c>
      <c r="V28" s="388">
        <f t="shared" si="19"/>
        <v>0.0359</v>
      </c>
      <c r="W28" s="58">
        <f t="shared" si="20"/>
        <v>97685.763132213</v>
      </c>
      <c r="X28" s="58">
        <f t="shared" si="21"/>
        <v>47706.201193809335</v>
      </c>
      <c r="Y28" s="58">
        <f t="shared" si="8"/>
        <v>49979.56193840367</v>
      </c>
      <c r="Z28" s="58">
        <f t="shared" si="22"/>
        <v>1278883.9810646418</v>
      </c>
      <c r="AA28" s="58">
        <f t="shared" si="9"/>
        <v>26927.858440199958</v>
      </c>
      <c r="AB28" s="58">
        <f t="shared" si="10"/>
        <v>1773.8192464576164</v>
      </c>
      <c r="AC28" s="58">
        <f t="shared" si="11"/>
        <v>1773.8192464576164</v>
      </c>
      <c r="AD28" s="58">
        <f t="shared" si="12"/>
        <v>12313.468525216771</v>
      </c>
      <c r="AE28" s="58">
        <v>435</v>
      </c>
      <c r="AF28" s="217">
        <f t="shared" si="13"/>
        <v>90930.16665214128</v>
      </c>
      <c r="AG28" s="141">
        <f t="shared" si="0"/>
        <v>-6843.105956682892</v>
      </c>
      <c r="AH28" s="318">
        <v>0</v>
      </c>
      <c r="AI28" s="217">
        <v>0</v>
      </c>
      <c r="AJ28" s="217">
        <v>0</v>
      </c>
      <c r="AK28" s="217">
        <f t="shared" si="24"/>
        <v>12313.468525216771</v>
      </c>
      <c r="AL28" s="217">
        <v>0</v>
      </c>
      <c r="AM28" s="322">
        <f t="shared" si="14"/>
        <v>7366.718392939074</v>
      </c>
      <c r="AN28" s="322">
        <v>0</v>
      </c>
      <c r="AO28" s="322">
        <v>0</v>
      </c>
      <c r="AP28" s="322">
        <v>0</v>
      </c>
      <c r="AQ28" s="139">
        <f t="shared" si="15"/>
        <v>19680.186918155843</v>
      </c>
      <c r="AR28" s="139">
        <f t="shared" si="23"/>
        <v>3626.0737415405692</v>
      </c>
      <c r="AS28" s="328"/>
      <c r="AT28" s="148"/>
      <c r="AU28" s="44"/>
    </row>
    <row r="29" spans="1:47" ht="12.75">
      <c r="A29" s="45">
        <v>23</v>
      </c>
      <c r="B29" s="332">
        <f t="shared" si="1"/>
        <v>0.017</v>
      </c>
      <c r="C29" s="189">
        <f t="shared" si="16"/>
        <v>101913.22489404454</v>
      </c>
      <c r="D29" s="137">
        <v>0.03</v>
      </c>
      <c r="E29" s="44">
        <f t="shared" si="2"/>
        <v>-3057.3967468213364</v>
      </c>
      <c r="F29" s="44">
        <f t="shared" si="17"/>
        <v>579.5900959509707</v>
      </c>
      <c r="G29" s="141">
        <f t="shared" si="3"/>
        <v>99435.41824317418</v>
      </c>
      <c r="H29" s="44">
        <f t="shared" si="18"/>
        <v>48237.83801833731</v>
      </c>
      <c r="I29" s="44">
        <f t="shared" si="18"/>
        <v>52098.4935567951</v>
      </c>
      <c r="J29" s="44">
        <f t="shared" si="18"/>
        <v>11992.899018836059</v>
      </c>
      <c r="K29" s="44">
        <f t="shared" si="18"/>
        <v>13119.750241432015</v>
      </c>
      <c r="L29" s="44">
        <f t="shared" si="18"/>
        <v>6811.0130100821925</v>
      </c>
      <c r="M29" s="44">
        <f t="shared" si="18"/>
        <v>9190.224641967527</v>
      </c>
      <c r="N29" s="44">
        <f t="shared" si="18"/>
        <v>0</v>
      </c>
      <c r="O29" s="44">
        <f t="shared" si="18"/>
        <v>0</v>
      </c>
      <c r="P29" s="141">
        <f t="shared" si="5"/>
        <v>67041.75004725557</v>
      </c>
      <c r="Q29" s="140">
        <f t="shared" si="6"/>
        <v>74408.46844019464</v>
      </c>
      <c r="R29" s="141">
        <f t="shared" si="7"/>
        <v>7366.718392939074</v>
      </c>
      <c r="S29" s="148">
        <v>0</v>
      </c>
      <c r="T29" s="148">
        <v>0</v>
      </c>
      <c r="U29" s="148">
        <v>0</v>
      </c>
      <c r="V29" s="388">
        <f t="shared" si="19"/>
        <v>0.0359</v>
      </c>
      <c r="W29" s="58">
        <f t="shared" si="20"/>
        <v>97685.763132213</v>
      </c>
      <c r="X29" s="58">
        <f t="shared" si="21"/>
        <v>45911.93492022064</v>
      </c>
      <c r="Y29" s="58">
        <f t="shared" si="8"/>
        <v>51773.82821199236</v>
      </c>
      <c r="Z29" s="58">
        <f t="shared" si="22"/>
        <v>1227110.1528526496</v>
      </c>
      <c r="AA29" s="58">
        <f t="shared" si="9"/>
        <v>27385.632033683356</v>
      </c>
      <c r="AB29" s="58">
        <f t="shared" si="10"/>
        <v>1803.974173647396</v>
      </c>
      <c r="AC29" s="58">
        <f t="shared" si="11"/>
        <v>1803.974173647396</v>
      </c>
      <c r="AD29" s="58">
        <f t="shared" si="12"/>
        <v>12522.797490145456</v>
      </c>
      <c r="AE29" s="58">
        <v>435</v>
      </c>
      <c r="AF29" s="217">
        <f t="shared" si="13"/>
        <v>89863.31279134424</v>
      </c>
      <c r="AG29" s="141">
        <f t="shared" si="0"/>
        <v>-9572.105451829935</v>
      </c>
      <c r="AH29" s="318">
        <v>0</v>
      </c>
      <c r="AI29" s="217">
        <v>0</v>
      </c>
      <c r="AJ29" s="217">
        <v>0</v>
      </c>
      <c r="AK29" s="217">
        <f t="shared" si="24"/>
        <v>12522.797490145456</v>
      </c>
      <c r="AL29" s="217">
        <v>0</v>
      </c>
      <c r="AM29" s="322">
        <f t="shared" si="14"/>
        <v>7366.718392939074</v>
      </c>
      <c r="AN29" s="322">
        <v>0</v>
      </c>
      <c r="AO29" s="322">
        <v>0</v>
      </c>
      <c r="AP29" s="322">
        <v>0</v>
      </c>
      <c r="AQ29" s="139">
        <f t="shared" si="15"/>
        <v>19889.515883084532</v>
      </c>
      <c r="AR29" s="139">
        <f t="shared" si="23"/>
        <v>3626.0737415405692</v>
      </c>
      <c r="AS29" s="328"/>
      <c r="AT29" s="148"/>
      <c r="AU29" s="44"/>
    </row>
    <row r="30" spans="1:47" ht="12.75">
      <c r="A30" s="45">
        <v>24</v>
      </c>
      <c r="B30" s="332">
        <f t="shared" si="1"/>
        <v>0.017</v>
      </c>
      <c r="C30" s="189">
        <f t="shared" si="16"/>
        <v>103645.7497172433</v>
      </c>
      <c r="D30" s="137">
        <v>0.03</v>
      </c>
      <c r="E30" s="44">
        <f t="shared" si="2"/>
        <v>-3109.3724915172993</v>
      </c>
      <c r="F30" s="44">
        <f t="shared" si="17"/>
        <v>589.4431275821372</v>
      </c>
      <c r="G30" s="141">
        <f t="shared" si="3"/>
        <v>101125.82035330815</v>
      </c>
      <c r="H30" s="44">
        <f t="shared" si="18"/>
        <v>48237.83801833731</v>
      </c>
      <c r="I30" s="44">
        <f t="shared" si="18"/>
        <v>52098.4935567951</v>
      </c>
      <c r="J30" s="44">
        <f t="shared" si="18"/>
        <v>11992.899018836059</v>
      </c>
      <c r="K30" s="44">
        <f t="shared" si="18"/>
        <v>13119.750241432015</v>
      </c>
      <c r="L30" s="44">
        <f t="shared" si="18"/>
        <v>6811.0130100821925</v>
      </c>
      <c r="M30" s="44">
        <f t="shared" si="18"/>
        <v>9190.224641967527</v>
      </c>
      <c r="N30" s="44">
        <f t="shared" si="18"/>
        <v>0</v>
      </c>
      <c r="O30" s="44">
        <f t="shared" si="18"/>
        <v>0</v>
      </c>
      <c r="P30" s="141">
        <f t="shared" si="5"/>
        <v>67041.75004725557</v>
      </c>
      <c r="Q30" s="140">
        <f t="shared" si="6"/>
        <v>74408.46844019464</v>
      </c>
      <c r="R30" s="141">
        <f t="shared" si="7"/>
        <v>7366.718392939074</v>
      </c>
      <c r="S30" s="148">
        <v>0</v>
      </c>
      <c r="T30" s="148">
        <v>0</v>
      </c>
      <c r="U30" s="148">
        <v>0</v>
      </c>
      <c r="V30" s="388">
        <f t="shared" si="19"/>
        <v>0.0359</v>
      </c>
      <c r="W30" s="58">
        <f t="shared" si="20"/>
        <v>97685.763132213</v>
      </c>
      <c r="X30" s="58">
        <f t="shared" si="21"/>
        <v>44053.25448741012</v>
      </c>
      <c r="Y30" s="58">
        <f t="shared" si="8"/>
        <v>53632.50864480288</v>
      </c>
      <c r="Z30" s="58">
        <f t="shared" si="22"/>
        <v>1173477.6442078466</v>
      </c>
      <c r="AA30" s="58">
        <f t="shared" si="9"/>
        <v>27851.18777825597</v>
      </c>
      <c r="AB30" s="58">
        <f t="shared" si="10"/>
        <v>1834.6417345994016</v>
      </c>
      <c r="AC30" s="58">
        <f t="shared" si="11"/>
        <v>1834.6417345994016</v>
      </c>
      <c r="AD30" s="58">
        <f t="shared" si="12"/>
        <v>12735.68504747793</v>
      </c>
      <c r="AE30" s="58">
        <v>435</v>
      </c>
      <c r="AF30" s="217">
        <f t="shared" si="13"/>
        <v>88744.41078234282</v>
      </c>
      <c r="AG30" s="141">
        <f t="shared" si="0"/>
        <v>-12381.409570965334</v>
      </c>
      <c r="AH30" s="318">
        <v>0</v>
      </c>
      <c r="AI30" s="217">
        <v>0</v>
      </c>
      <c r="AJ30" s="217">
        <v>0</v>
      </c>
      <c r="AK30" s="217">
        <f t="shared" si="24"/>
        <v>12735.68504747793</v>
      </c>
      <c r="AL30" s="217">
        <v>0</v>
      </c>
      <c r="AM30" s="322">
        <f t="shared" si="14"/>
        <v>7366.718392939074</v>
      </c>
      <c r="AN30" s="322">
        <v>0</v>
      </c>
      <c r="AO30" s="322">
        <v>0</v>
      </c>
      <c r="AP30" s="322">
        <v>0</v>
      </c>
      <c r="AQ30" s="139">
        <f t="shared" si="15"/>
        <v>20102.403440417</v>
      </c>
      <c r="AR30" s="139">
        <f t="shared" si="23"/>
        <v>3626.0737415405692</v>
      </c>
      <c r="AS30" s="328"/>
      <c r="AT30" s="148"/>
      <c r="AU30" s="44"/>
    </row>
    <row r="31" spans="1:47" ht="12.75">
      <c r="A31" s="45">
        <v>25</v>
      </c>
      <c r="B31" s="332">
        <f t="shared" si="1"/>
        <v>0.017</v>
      </c>
      <c r="C31" s="189">
        <f t="shared" si="16"/>
        <v>105407.72746243644</v>
      </c>
      <c r="D31" s="137">
        <v>0.03</v>
      </c>
      <c r="E31" s="44">
        <f t="shared" si="2"/>
        <v>-3162.231823873093</v>
      </c>
      <c r="F31" s="44">
        <f t="shared" si="17"/>
        <v>599.4636607510336</v>
      </c>
      <c r="G31" s="141">
        <f t="shared" si="3"/>
        <v>102844.95929931437</v>
      </c>
      <c r="H31" s="44">
        <f t="shared" si="18"/>
        <v>48237.83801833731</v>
      </c>
      <c r="I31" s="44">
        <f t="shared" si="18"/>
        <v>52098.4935567951</v>
      </c>
      <c r="J31" s="44">
        <f t="shared" si="18"/>
        <v>11992.899018836059</v>
      </c>
      <c r="K31" s="44">
        <f t="shared" si="18"/>
        <v>13119.750241432015</v>
      </c>
      <c r="L31" s="44">
        <f t="shared" si="18"/>
        <v>6811.0130100821925</v>
      </c>
      <c r="M31" s="44">
        <f t="shared" si="18"/>
        <v>9190.224641967527</v>
      </c>
      <c r="N31" s="44">
        <f t="shared" si="18"/>
        <v>0</v>
      </c>
      <c r="O31" s="44">
        <f t="shared" si="18"/>
        <v>0</v>
      </c>
      <c r="P31" s="141">
        <f t="shared" si="5"/>
        <v>67041.75004725557</v>
      </c>
      <c r="Q31" s="140">
        <f t="shared" si="6"/>
        <v>74408.46844019464</v>
      </c>
      <c r="R31" s="141">
        <f t="shared" si="7"/>
        <v>7366.718392939074</v>
      </c>
      <c r="S31" s="148">
        <v>0</v>
      </c>
      <c r="T31" s="148">
        <v>0</v>
      </c>
      <c r="U31" s="148">
        <v>0</v>
      </c>
      <c r="V31" s="388">
        <f t="shared" si="19"/>
        <v>0.0359</v>
      </c>
      <c r="W31" s="58">
        <f t="shared" si="20"/>
        <v>97685.763132213</v>
      </c>
      <c r="X31" s="58">
        <f t="shared" si="21"/>
        <v>42127.84742706169</v>
      </c>
      <c r="Y31" s="58">
        <f t="shared" si="8"/>
        <v>55557.91570515131</v>
      </c>
      <c r="Z31" s="58">
        <f t="shared" si="22"/>
        <v>1117919.7285026952</v>
      </c>
      <c r="AA31" s="58">
        <f t="shared" si="9"/>
        <v>28324.65797048632</v>
      </c>
      <c r="AB31" s="58">
        <f t="shared" si="10"/>
        <v>1865.8306440875915</v>
      </c>
      <c r="AC31" s="58">
        <f t="shared" si="11"/>
        <v>1865.8306440875915</v>
      </c>
      <c r="AD31" s="58">
        <f t="shared" si="12"/>
        <v>12952.191693285054</v>
      </c>
      <c r="AE31" s="58">
        <v>435</v>
      </c>
      <c r="AF31" s="217">
        <f t="shared" si="13"/>
        <v>87571.35837900825</v>
      </c>
      <c r="AG31" s="141">
        <f t="shared" si="0"/>
        <v>-15273.600920306126</v>
      </c>
      <c r="AH31" s="318">
        <v>0</v>
      </c>
      <c r="AI31" s="217">
        <v>0</v>
      </c>
      <c r="AJ31" s="217">
        <v>0</v>
      </c>
      <c r="AK31" s="217">
        <f t="shared" si="24"/>
        <v>12952.191693285054</v>
      </c>
      <c r="AL31" s="217">
        <v>0</v>
      </c>
      <c r="AM31" s="322">
        <f t="shared" si="14"/>
        <v>7366.718392939074</v>
      </c>
      <c r="AN31" s="322">
        <v>0</v>
      </c>
      <c r="AO31" s="322">
        <v>0</v>
      </c>
      <c r="AP31" s="322">
        <v>0</v>
      </c>
      <c r="AQ31" s="139">
        <f t="shared" si="15"/>
        <v>20318.91008622413</v>
      </c>
      <c r="AR31" s="139">
        <f t="shared" si="23"/>
        <v>3626.0737415405692</v>
      </c>
      <c r="AS31" s="328"/>
      <c r="AT31" s="148"/>
      <c r="AU31" s="44"/>
    </row>
    <row r="32" spans="1:47" ht="12.75">
      <c r="A32" s="45">
        <v>26</v>
      </c>
      <c r="B32" s="332">
        <f t="shared" si="1"/>
        <v>0.017</v>
      </c>
      <c r="C32" s="189">
        <f t="shared" si="16"/>
        <v>107199.65882929786</v>
      </c>
      <c r="D32" s="137">
        <v>0.03</v>
      </c>
      <c r="E32" s="44">
        <f t="shared" si="2"/>
        <v>-3215.9897648789356</v>
      </c>
      <c r="F32" s="44">
        <f t="shared" si="17"/>
        <v>609.6545429838011</v>
      </c>
      <c r="G32" s="141">
        <f t="shared" si="3"/>
        <v>104593.32360740272</v>
      </c>
      <c r="H32" s="44">
        <f t="shared" si="18"/>
        <v>48237.83801833731</v>
      </c>
      <c r="I32" s="44">
        <f t="shared" si="18"/>
        <v>52098.4935567951</v>
      </c>
      <c r="J32" s="44">
        <f t="shared" si="18"/>
        <v>11992.899018836059</v>
      </c>
      <c r="K32" s="44">
        <f t="shared" si="18"/>
        <v>13119.750241432015</v>
      </c>
      <c r="L32" s="44">
        <v>0</v>
      </c>
      <c r="M32" s="44">
        <v>0</v>
      </c>
      <c r="N32" s="44">
        <f t="shared" si="18"/>
        <v>0</v>
      </c>
      <c r="O32" s="44">
        <f t="shared" si="18"/>
        <v>0</v>
      </c>
      <c r="P32" s="141">
        <f t="shared" si="5"/>
        <v>60230.73703717337</v>
      </c>
      <c r="Q32" s="140">
        <f t="shared" si="6"/>
        <v>65218.24379822712</v>
      </c>
      <c r="R32" s="141">
        <f t="shared" si="7"/>
        <v>4987.506761053752</v>
      </c>
      <c r="S32" s="148">
        <v>0</v>
      </c>
      <c r="T32" s="148">
        <v>0</v>
      </c>
      <c r="U32" s="148">
        <v>0</v>
      </c>
      <c r="V32" s="388">
        <f t="shared" si="19"/>
        <v>0.0359</v>
      </c>
      <c r="W32" s="58">
        <f t="shared" si="20"/>
        <v>97685.763132213</v>
      </c>
      <c r="X32" s="58">
        <f t="shared" si="21"/>
        <v>40133.31825324676</v>
      </c>
      <c r="Y32" s="58">
        <f t="shared" si="8"/>
        <v>57552.44487896624</v>
      </c>
      <c r="Z32" s="58">
        <f t="shared" si="22"/>
        <v>1060367.283623729</v>
      </c>
      <c r="AA32" s="58">
        <f t="shared" si="9"/>
        <v>28806.177155984587</v>
      </c>
      <c r="AB32" s="58">
        <f t="shared" si="10"/>
        <v>1897.5497650370805</v>
      </c>
      <c r="AC32" s="58">
        <f t="shared" si="11"/>
        <v>1897.5497650370805</v>
      </c>
      <c r="AD32" s="58">
        <f t="shared" si="12"/>
        <v>13172.3789520709</v>
      </c>
      <c r="AE32" s="58">
        <v>435</v>
      </c>
      <c r="AF32" s="217">
        <f t="shared" si="13"/>
        <v>86341.9738913764</v>
      </c>
      <c r="AG32" s="141">
        <f t="shared" si="0"/>
        <v>-18251.34971602632</v>
      </c>
      <c r="AH32" s="318">
        <v>0</v>
      </c>
      <c r="AI32" s="217">
        <v>0</v>
      </c>
      <c r="AJ32" s="217">
        <f>AD32</f>
        <v>13172.3789520709</v>
      </c>
      <c r="AK32" s="217">
        <f aca="true" t="shared" si="25" ref="AK32:AK46">AJ32-AD32</f>
        <v>0</v>
      </c>
      <c r="AL32" s="217">
        <v>0</v>
      </c>
      <c r="AM32" s="322">
        <f t="shared" si="14"/>
        <v>4987.506761053752</v>
      </c>
      <c r="AN32" s="322">
        <v>0</v>
      </c>
      <c r="AO32" s="322">
        <v>0</v>
      </c>
      <c r="AP32" s="322">
        <v>0</v>
      </c>
      <c r="AQ32" s="139">
        <f t="shared" si="15"/>
        <v>4987.506761053752</v>
      </c>
      <c r="AR32" s="139">
        <f t="shared" si="23"/>
        <v>3626.0737415405692</v>
      </c>
      <c r="AS32" s="328"/>
      <c r="AT32" s="148"/>
      <c r="AU32" s="44"/>
    </row>
    <row r="33" spans="1:47" ht="12.75">
      <c r="A33" s="45">
        <v>27</v>
      </c>
      <c r="B33" s="332">
        <f t="shared" si="1"/>
        <v>0.017</v>
      </c>
      <c r="C33" s="189">
        <f t="shared" si="16"/>
        <v>109022.05302939592</v>
      </c>
      <c r="D33" s="137">
        <v>0.03</v>
      </c>
      <c r="E33" s="44">
        <f t="shared" si="2"/>
        <v>-3270.661590881877</v>
      </c>
      <c r="F33" s="44">
        <f t="shared" si="17"/>
        <v>620.0186702145257</v>
      </c>
      <c r="G33" s="141">
        <f t="shared" si="3"/>
        <v>106371.41010872857</v>
      </c>
      <c r="H33" s="44">
        <f t="shared" si="18"/>
        <v>48237.83801833731</v>
      </c>
      <c r="I33" s="44">
        <f t="shared" si="18"/>
        <v>52098.4935567951</v>
      </c>
      <c r="J33" s="44">
        <f t="shared" si="18"/>
        <v>11992.899018836059</v>
      </c>
      <c r="K33" s="44">
        <f t="shared" si="18"/>
        <v>13119.750241432015</v>
      </c>
      <c r="L33" s="44">
        <v>0</v>
      </c>
      <c r="M33" s="44">
        <v>0</v>
      </c>
      <c r="N33" s="44">
        <f t="shared" si="18"/>
        <v>0</v>
      </c>
      <c r="O33" s="44">
        <f t="shared" si="18"/>
        <v>0</v>
      </c>
      <c r="P33" s="141">
        <f t="shared" si="5"/>
        <v>60230.73703717337</v>
      </c>
      <c r="Q33" s="140">
        <f t="shared" si="6"/>
        <v>65218.24379822712</v>
      </c>
      <c r="R33" s="141">
        <f t="shared" si="7"/>
        <v>4987.506761053752</v>
      </c>
      <c r="S33" s="148">
        <v>0</v>
      </c>
      <c r="T33" s="148">
        <v>0</v>
      </c>
      <c r="U33" s="148">
        <v>0</v>
      </c>
      <c r="V33" s="388">
        <f t="shared" si="19"/>
        <v>0.0359</v>
      </c>
      <c r="W33" s="58">
        <f t="shared" si="20"/>
        <v>97685.763132213</v>
      </c>
      <c r="X33" s="58">
        <f t="shared" si="21"/>
        <v>38067.18548209187</v>
      </c>
      <c r="Y33" s="58">
        <f t="shared" si="8"/>
        <v>59618.57765012114</v>
      </c>
      <c r="Z33" s="58">
        <f t="shared" si="22"/>
        <v>1000748.7059736077</v>
      </c>
      <c r="AA33" s="58">
        <f t="shared" si="9"/>
        <v>29295.882167636326</v>
      </c>
      <c r="AB33" s="58">
        <f t="shared" si="10"/>
        <v>1929.8081110427108</v>
      </c>
      <c r="AC33" s="58">
        <f t="shared" si="11"/>
        <v>1929.8081110427108</v>
      </c>
      <c r="AD33" s="58">
        <f t="shared" si="12"/>
        <v>13396.309394256104</v>
      </c>
      <c r="AE33" s="58">
        <v>435</v>
      </c>
      <c r="AF33" s="217">
        <f t="shared" si="13"/>
        <v>85053.99326606974</v>
      </c>
      <c r="AG33" s="141">
        <f t="shared" si="0"/>
        <v>-21317.41684265883</v>
      </c>
      <c r="AH33" s="318">
        <v>0</v>
      </c>
      <c r="AI33" s="217">
        <v>0</v>
      </c>
      <c r="AJ33" s="217">
        <f aca="true" t="shared" si="26" ref="AJ33:AJ46">AD33</f>
        <v>13396.309394256104</v>
      </c>
      <c r="AK33" s="217">
        <f t="shared" si="25"/>
        <v>0</v>
      </c>
      <c r="AL33" s="217">
        <v>0</v>
      </c>
      <c r="AM33" s="322">
        <f t="shared" si="14"/>
        <v>4987.506761053752</v>
      </c>
      <c r="AN33" s="322">
        <v>0</v>
      </c>
      <c r="AO33" s="322">
        <v>0</v>
      </c>
      <c r="AP33" s="322">
        <v>0</v>
      </c>
      <c r="AQ33" s="139">
        <f t="shared" si="15"/>
        <v>4987.506761053752</v>
      </c>
      <c r="AR33" s="139">
        <f t="shared" si="23"/>
        <v>3626.0737415405692</v>
      </c>
      <c r="AS33" s="328"/>
      <c r="AT33" s="148"/>
      <c r="AU33" s="44"/>
    </row>
    <row r="34" spans="1:47" ht="12.75">
      <c r="A34" s="45">
        <v>28</v>
      </c>
      <c r="B34" s="332">
        <f t="shared" si="1"/>
        <v>0.017</v>
      </c>
      <c r="C34" s="189">
        <f t="shared" si="16"/>
        <v>110875.42793089565</v>
      </c>
      <c r="D34" s="137">
        <v>0.03</v>
      </c>
      <c r="E34" s="44">
        <f t="shared" si="2"/>
        <v>-3326.2628379268695</v>
      </c>
      <c r="F34" s="44">
        <f t="shared" si="17"/>
        <v>630.5589876081726</v>
      </c>
      <c r="G34" s="141">
        <f t="shared" si="3"/>
        <v>108179.72408057695</v>
      </c>
      <c r="H34" s="44">
        <f t="shared" si="18"/>
        <v>48237.83801833731</v>
      </c>
      <c r="I34" s="44">
        <f t="shared" si="18"/>
        <v>52098.4935567951</v>
      </c>
      <c r="J34" s="44">
        <f t="shared" si="18"/>
        <v>11992.899018836059</v>
      </c>
      <c r="K34" s="44">
        <f t="shared" si="18"/>
        <v>13119.750241432015</v>
      </c>
      <c r="L34" s="44">
        <v>0</v>
      </c>
      <c r="M34" s="44">
        <v>0</v>
      </c>
      <c r="N34" s="44">
        <f t="shared" si="18"/>
        <v>0</v>
      </c>
      <c r="O34" s="44">
        <f t="shared" si="18"/>
        <v>0</v>
      </c>
      <c r="P34" s="141">
        <f t="shared" si="5"/>
        <v>60230.73703717337</v>
      </c>
      <c r="Q34" s="140">
        <f t="shared" si="6"/>
        <v>65218.24379822712</v>
      </c>
      <c r="R34" s="141">
        <f t="shared" si="7"/>
        <v>4987.506761053752</v>
      </c>
      <c r="S34" s="148">
        <v>0</v>
      </c>
      <c r="T34" s="148">
        <v>0</v>
      </c>
      <c r="U34" s="148">
        <v>0</v>
      </c>
      <c r="V34" s="388">
        <f t="shared" si="19"/>
        <v>0.0359</v>
      </c>
      <c r="W34" s="58">
        <f t="shared" si="20"/>
        <v>97685.763132213</v>
      </c>
      <c r="X34" s="58">
        <f t="shared" si="21"/>
        <v>35926.87854445252</v>
      </c>
      <c r="Y34" s="58">
        <f t="shared" si="8"/>
        <v>61758.88458776048</v>
      </c>
      <c r="Z34" s="58">
        <f t="shared" si="22"/>
        <v>938989.8213858473</v>
      </c>
      <c r="AA34" s="58">
        <f t="shared" si="9"/>
        <v>29793.912164486144</v>
      </c>
      <c r="AB34" s="58">
        <f t="shared" si="10"/>
        <v>1962.614848930437</v>
      </c>
      <c r="AC34" s="58">
        <f t="shared" si="11"/>
        <v>1962.614848930437</v>
      </c>
      <c r="AD34" s="58">
        <f t="shared" si="12"/>
        <v>13624.046653958458</v>
      </c>
      <c r="AE34" s="58">
        <v>435</v>
      </c>
      <c r="AF34" s="217">
        <f t="shared" si="13"/>
        <v>83705.067060758</v>
      </c>
      <c r="AG34" s="141">
        <f t="shared" si="0"/>
        <v>-24474.65701981896</v>
      </c>
      <c r="AH34" s="318">
        <v>0</v>
      </c>
      <c r="AI34" s="217">
        <v>0</v>
      </c>
      <c r="AJ34" s="217">
        <f t="shared" si="26"/>
        <v>13624.046653958458</v>
      </c>
      <c r="AK34" s="217">
        <f t="shared" si="25"/>
        <v>0</v>
      </c>
      <c r="AL34" s="217">
        <v>0</v>
      </c>
      <c r="AM34" s="322">
        <f t="shared" si="14"/>
        <v>4987.506761053752</v>
      </c>
      <c r="AN34" s="322">
        <v>0</v>
      </c>
      <c r="AO34" s="322">
        <v>0</v>
      </c>
      <c r="AP34" s="322">
        <v>0</v>
      </c>
      <c r="AQ34" s="139">
        <f t="shared" si="15"/>
        <v>4987.506761053752</v>
      </c>
      <c r="AR34" s="139">
        <f t="shared" si="23"/>
        <v>3626.0737415405692</v>
      </c>
      <c r="AS34" s="328"/>
      <c r="AT34" s="148"/>
      <c r="AU34" s="44"/>
    </row>
    <row r="35" spans="1:47" ht="12.75">
      <c r="A35" s="45">
        <v>29</v>
      </c>
      <c r="B35" s="332">
        <f t="shared" si="1"/>
        <v>0.017</v>
      </c>
      <c r="C35" s="189">
        <f t="shared" si="16"/>
        <v>112760.31020572087</v>
      </c>
      <c r="D35" s="137">
        <v>0.03</v>
      </c>
      <c r="E35" s="44">
        <f t="shared" si="2"/>
        <v>-3382.8093061716263</v>
      </c>
      <c r="F35" s="44">
        <f t="shared" si="17"/>
        <v>641.2784903975115</v>
      </c>
      <c r="G35" s="141">
        <f t="shared" si="3"/>
        <v>110018.77938994677</v>
      </c>
      <c r="H35" s="44">
        <f t="shared" si="18"/>
        <v>48237.83801833731</v>
      </c>
      <c r="I35" s="44">
        <f t="shared" si="18"/>
        <v>52098.4935567951</v>
      </c>
      <c r="J35" s="44">
        <f t="shared" si="18"/>
        <v>11992.899018836059</v>
      </c>
      <c r="K35" s="44">
        <f t="shared" si="18"/>
        <v>13119.750241432015</v>
      </c>
      <c r="L35" s="44">
        <v>0</v>
      </c>
      <c r="M35" s="44">
        <v>0</v>
      </c>
      <c r="N35" s="44">
        <f t="shared" si="18"/>
        <v>0</v>
      </c>
      <c r="O35" s="44">
        <f t="shared" si="18"/>
        <v>0</v>
      </c>
      <c r="P35" s="141">
        <f t="shared" si="5"/>
        <v>60230.73703717337</v>
      </c>
      <c r="Q35" s="140">
        <f t="shared" si="6"/>
        <v>65218.24379822712</v>
      </c>
      <c r="R35" s="141">
        <f t="shared" si="7"/>
        <v>4987.506761053752</v>
      </c>
      <c r="S35" s="148">
        <v>0</v>
      </c>
      <c r="T35" s="148">
        <v>0</v>
      </c>
      <c r="U35" s="148">
        <v>0</v>
      </c>
      <c r="V35" s="388">
        <f t="shared" si="19"/>
        <v>0.0359</v>
      </c>
      <c r="W35" s="58">
        <f t="shared" si="20"/>
        <v>97685.763132213</v>
      </c>
      <c r="X35" s="58">
        <f t="shared" si="21"/>
        <v>33709.73458775192</v>
      </c>
      <c r="Y35" s="58">
        <f t="shared" si="8"/>
        <v>63976.028544461085</v>
      </c>
      <c r="Z35" s="58">
        <f t="shared" si="22"/>
        <v>875013.7928413862</v>
      </c>
      <c r="AA35" s="58">
        <f t="shared" si="9"/>
        <v>30300.40867128241</v>
      </c>
      <c r="AB35" s="58">
        <f t="shared" si="10"/>
        <v>1995.9793013622543</v>
      </c>
      <c r="AC35" s="58">
        <f t="shared" si="11"/>
        <v>1995.9793013622543</v>
      </c>
      <c r="AD35" s="58">
        <f t="shared" si="12"/>
        <v>13855.655447075751</v>
      </c>
      <c r="AE35" s="58">
        <v>435</v>
      </c>
      <c r="AF35" s="217">
        <f t="shared" si="13"/>
        <v>82292.7573088346</v>
      </c>
      <c r="AG35" s="141">
        <f t="shared" si="0"/>
        <v>-27726.02208111217</v>
      </c>
      <c r="AH35" s="318">
        <v>0</v>
      </c>
      <c r="AI35" s="217">
        <v>0</v>
      </c>
      <c r="AJ35" s="217">
        <f t="shared" si="26"/>
        <v>13855.655447075751</v>
      </c>
      <c r="AK35" s="217">
        <f t="shared" si="25"/>
        <v>0</v>
      </c>
      <c r="AL35" s="217">
        <v>0</v>
      </c>
      <c r="AM35" s="322">
        <f t="shared" si="14"/>
        <v>4987.506761053752</v>
      </c>
      <c r="AN35" s="322">
        <v>0</v>
      </c>
      <c r="AO35" s="322">
        <v>0</v>
      </c>
      <c r="AP35" s="322">
        <v>0</v>
      </c>
      <c r="AQ35" s="139">
        <f t="shared" si="15"/>
        <v>4987.506761053752</v>
      </c>
      <c r="AR35" s="139">
        <f t="shared" si="23"/>
        <v>3626.0737415405692</v>
      </c>
      <c r="AS35" s="328"/>
      <c r="AT35" s="148"/>
      <c r="AU35" s="44"/>
    </row>
    <row r="36" spans="1:47" ht="12.75">
      <c r="A36" s="45">
        <v>30</v>
      </c>
      <c r="B36" s="332">
        <f t="shared" si="1"/>
        <v>0.017</v>
      </c>
      <c r="C36" s="189">
        <f t="shared" si="16"/>
        <v>114677.23547921813</v>
      </c>
      <c r="D36" s="137">
        <v>0.03</v>
      </c>
      <c r="E36" s="44">
        <f t="shared" si="2"/>
        <v>-3440.317064376544</v>
      </c>
      <c r="F36" s="44">
        <f t="shared" si="17"/>
        <v>652.1802247342692</v>
      </c>
      <c r="G36" s="141">
        <f t="shared" si="3"/>
        <v>111889.09863957585</v>
      </c>
      <c r="H36" s="44">
        <f t="shared" si="18"/>
        <v>48237.83801833731</v>
      </c>
      <c r="I36" s="44">
        <f t="shared" si="18"/>
        <v>52098.4935567951</v>
      </c>
      <c r="J36" s="44">
        <f t="shared" si="18"/>
        <v>11992.899018836059</v>
      </c>
      <c r="K36" s="44">
        <f t="shared" si="18"/>
        <v>13119.750241432015</v>
      </c>
      <c r="L36" s="44">
        <v>0</v>
      </c>
      <c r="M36" s="44">
        <v>0</v>
      </c>
      <c r="N36" s="44">
        <f t="shared" si="18"/>
        <v>0</v>
      </c>
      <c r="O36" s="44">
        <f t="shared" si="18"/>
        <v>0</v>
      </c>
      <c r="P36" s="141">
        <f t="shared" si="5"/>
        <v>60230.73703717337</v>
      </c>
      <c r="Q36" s="140">
        <f t="shared" si="6"/>
        <v>65218.24379822712</v>
      </c>
      <c r="R36" s="141">
        <f t="shared" si="7"/>
        <v>4987.506761053752</v>
      </c>
      <c r="S36" s="148">
        <v>0</v>
      </c>
      <c r="T36" s="148">
        <v>0</v>
      </c>
      <c r="U36" s="148">
        <v>0</v>
      </c>
      <c r="V36" s="388">
        <f t="shared" si="19"/>
        <v>0.0359</v>
      </c>
      <c r="W36" s="58">
        <f t="shared" si="20"/>
        <v>97685.763132213</v>
      </c>
      <c r="X36" s="58">
        <f t="shared" si="21"/>
        <v>31412.995163005766</v>
      </c>
      <c r="Y36" s="58">
        <f t="shared" si="8"/>
        <v>66272.76796920724</v>
      </c>
      <c r="Z36" s="58">
        <f t="shared" si="22"/>
        <v>808741.0248721789</v>
      </c>
      <c r="AA36" s="58">
        <f t="shared" si="9"/>
        <v>30815.51561869421</v>
      </c>
      <c r="AB36" s="58">
        <f t="shared" si="10"/>
        <v>2029.9109494854126</v>
      </c>
      <c r="AC36" s="58">
        <f t="shared" si="11"/>
        <v>2029.9109494854126</v>
      </c>
      <c r="AD36" s="58">
        <f t="shared" si="12"/>
        <v>14091.201589676039</v>
      </c>
      <c r="AE36" s="58">
        <v>435</v>
      </c>
      <c r="AF36" s="217">
        <f t="shared" si="13"/>
        <v>80814.53427034685</v>
      </c>
      <c r="AG36" s="141">
        <f t="shared" si="0"/>
        <v>-31074.564369229003</v>
      </c>
      <c r="AH36" s="318">
        <v>0</v>
      </c>
      <c r="AI36" s="217">
        <v>0</v>
      </c>
      <c r="AJ36" s="217">
        <f t="shared" si="26"/>
        <v>14091.201589676039</v>
      </c>
      <c r="AK36" s="217">
        <f t="shared" si="25"/>
        <v>0</v>
      </c>
      <c r="AL36" s="217">
        <v>0</v>
      </c>
      <c r="AM36" s="322">
        <f t="shared" si="14"/>
        <v>4987.506761053752</v>
      </c>
      <c r="AN36" s="322">
        <v>0</v>
      </c>
      <c r="AO36" s="322">
        <v>0</v>
      </c>
      <c r="AP36" s="322">
        <v>0</v>
      </c>
      <c r="AQ36" s="139">
        <f t="shared" si="15"/>
        <v>4987.506761053752</v>
      </c>
      <c r="AR36" s="139">
        <f t="shared" si="23"/>
        <v>3626.0737415405692</v>
      </c>
      <c r="AS36" s="328"/>
      <c r="AT36" s="148"/>
      <c r="AU36" s="44"/>
    </row>
    <row r="37" spans="1:47" ht="12.75">
      <c r="A37" s="45">
        <v>31</v>
      </c>
      <c r="B37" s="332">
        <f t="shared" si="1"/>
        <v>0.017</v>
      </c>
      <c r="C37" s="189">
        <f t="shared" si="16"/>
        <v>116626.74848236484</v>
      </c>
      <c r="D37" s="137">
        <v>0.03</v>
      </c>
      <c r="E37" s="44">
        <f t="shared" si="2"/>
        <v>-3498.802454470945</v>
      </c>
      <c r="F37" s="44">
        <f t="shared" si="17"/>
        <v>663.2672885547519</v>
      </c>
      <c r="G37" s="141">
        <f t="shared" si="3"/>
        <v>113791.21331644864</v>
      </c>
      <c r="H37" s="44">
        <f t="shared" si="18"/>
        <v>48237.83801833731</v>
      </c>
      <c r="I37" s="44">
        <f t="shared" si="18"/>
        <v>52098.4935567951</v>
      </c>
      <c r="J37" s="44">
        <f t="shared" si="18"/>
        <v>11992.899018836059</v>
      </c>
      <c r="K37" s="44">
        <f t="shared" si="18"/>
        <v>13119.750241432015</v>
      </c>
      <c r="L37" s="44">
        <v>0</v>
      </c>
      <c r="M37" s="44">
        <v>0</v>
      </c>
      <c r="N37" s="44">
        <f t="shared" si="18"/>
        <v>0</v>
      </c>
      <c r="O37" s="44">
        <f t="shared" si="18"/>
        <v>0</v>
      </c>
      <c r="P37" s="141">
        <f t="shared" si="5"/>
        <v>60230.73703717337</v>
      </c>
      <c r="Q37" s="140">
        <f t="shared" si="6"/>
        <v>65218.24379822712</v>
      </c>
      <c r="R37" s="141">
        <f t="shared" si="7"/>
        <v>4987.506761053752</v>
      </c>
      <c r="S37" s="148">
        <v>0</v>
      </c>
      <c r="T37" s="148">
        <v>0</v>
      </c>
      <c r="U37" s="148">
        <v>0</v>
      </c>
      <c r="V37" s="388">
        <f t="shared" si="19"/>
        <v>0.0359</v>
      </c>
      <c r="W37" s="58">
        <f t="shared" si="20"/>
        <v>97685.763132213</v>
      </c>
      <c r="X37" s="58">
        <f t="shared" si="21"/>
        <v>29033.802792911225</v>
      </c>
      <c r="Y37" s="58">
        <f t="shared" si="8"/>
        <v>68651.96033930178</v>
      </c>
      <c r="Z37" s="58">
        <f t="shared" si="22"/>
        <v>740089.0645328772</v>
      </c>
      <c r="AA37" s="58">
        <f t="shared" si="9"/>
        <v>31339.379384212014</v>
      </c>
      <c r="AB37" s="58">
        <f t="shared" si="10"/>
        <v>2064.419435626665</v>
      </c>
      <c r="AC37" s="58">
        <f t="shared" si="11"/>
        <v>2064.419435626665</v>
      </c>
      <c r="AD37" s="58">
        <f t="shared" si="12"/>
        <v>14330.752016700531</v>
      </c>
      <c r="AE37" s="58">
        <v>435</v>
      </c>
      <c r="AF37" s="217">
        <f t="shared" si="13"/>
        <v>79267.7730650771</v>
      </c>
      <c r="AG37" s="141">
        <f t="shared" si="0"/>
        <v>-34523.44025137155</v>
      </c>
      <c r="AH37" s="318">
        <v>0</v>
      </c>
      <c r="AI37" s="217">
        <v>0</v>
      </c>
      <c r="AJ37" s="217">
        <f t="shared" si="26"/>
        <v>14330.752016700531</v>
      </c>
      <c r="AK37" s="217">
        <f t="shared" si="25"/>
        <v>0</v>
      </c>
      <c r="AL37" s="217">
        <v>0</v>
      </c>
      <c r="AM37" s="322">
        <f t="shared" si="14"/>
        <v>4987.506761053752</v>
      </c>
      <c r="AN37" s="322">
        <v>0</v>
      </c>
      <c r="AO37" s="322">
        <v>0</v>
      </c>
      <c r="AP37" s="322">
        <v>0</v>
      </c>
      <c r="AQ37" s="139">
        <f t="shared" si="15"/>
        <v>4987.506761053752</v>
      </c>
      <c r="AR37" s="139">
        <f t="shared" si="23"/>
        <v>3626.0737415405692</v>
      </c>
      <c r="AS37" s="328"/>
      <c r="AT37" s="148"/>
      <c r="AU37" s="44"/>
    </row>
    <row r="38" spans="1:47" ht="12.75">
      <c r="A38" s="45">
        <v>32</v>
      </c>
      <c r="B38" s="332">
        <f t="shared" si="1"/>
        <v>0.017</v>
      </c>
      <c r="C38" s="189">
        <f t="shared" si="16"/>
        <v>118609.40320656504</v>
      </c>
      <c r="D38" s="137">
        <v>0.03</v>
      </c>
      <c r="E38" s="44">
        <f t="shared" si="2"/>
        <v>-3558.282096196951</v>
      </c>
      <c r="F38" s="44">
        <f t="shared" si="17"/>
        <v>674.5428324601827</v>
      </c>
      <c r="G38" s="141">
        <f t="shared" si="3"/>
        <v>115725.66394282827</v>
      </c>
      <c r="H38" s="44">
        <f t="shared" si="18"/>
        <v>48237.83801833731</v>
      </c>
      <c r="I38" s="44">
        <f t="shared" si="18"/>
        <v>52098.4935567951</v>
      </c>
      <c r="J38" s="44">
        <f t="shared" si="18"/>
        <v>11992.899018836059</v>
      </c>
      <c r="K38" s="44">
        <f t="shared" si="18"/>
        <v>13119.750241432015</v>
      </c>
      <c r="L38" s="44">
        <v>0</v>
      </c>
      <c r="M38" s="44">
        <v>0</v>
      </c>
      <c r="N38" s="44">
        <f t="shared" si="18"/>
        <v>0</v>
      </c>
      <c r="O38" s="44">
        <f t="shared" si="18"/>
        <v>0</v>
      </c>
      <c r="P38" s="141">
        <f t="shared" si="5"/>
        <v>60230.73703717337</v>
      </c>
      <c r="Q38" s="140">
        <f t="shared" si="6"/>
        <v>65218.24379822712</v>
      </c>
      <c r="R38" s="141">
        <f t="shared" si="7"/>
        <v>4987.506761053752</v>
      </c>
      <c r="S38" s="148">
        <v>0</v>
      </c>
      <c r="T38" s="148">
        <v>0</v>
      </c>
      <c r="U38" s="148">
        <v>0</v>
      </c>
      <c r="V38" s="388">
        <f t="shared" si="19"/>
        <v>0.0359</v>
      </c>
      <c r="W38" s="58">
        <f t="shared" si="20"/>
        <v>97685.763132213</v>
      </c>
      <c r="X38" s="58">
        <f t="shared" si="21"/>
        <v>26569.19741673029</v>
      </c>
      <c r="Y38" s="58">
        <f t="shared" si="8"/>
        <v>71116.56571548272</v>
      </c>
      <c r="Z38" s="58">
        <f t="shared" si="22"/>
        <v>668972.4988173945</v>
      </c>
      <c r="AA38" s="58">
        <f t="shared" si="9"/>
        <v>31872.148833743617</v>
      </c>
      <c r="AB38" s="58">
        <f t="shared" si="10"/>
        <v>2099.5145660323183</v>
      </c>
      <c r="AC38" s="58">
        <f t="shared" si="11"/>
        <v>2099.5145660323183</v>
      </c>
      <c r="AD38" s="58">
        <f t="shared" si="12"/>
        <v>14574.37480098444</v>
      </c>
      <c r="AE38" s="58">
        <v>435</v>
      </c>
      <c r="AF38" s="217">
        <f t="shared" si="13"/>
        <v>77649.75018352298</v>
      </c>
      <c r="AG38" s="141">
        <f t="shared" si="0"/>
        <v>-38075.91375930529</v>
      </c>
      <c r="AH38" s="318">
        <v>0</v>
      </c>
      <c r="AI38" s="217">
        <v>0</v>
      </c>
      <c r="AJ38" s="217">
        <f t="shared" si="26"/>
        <v>14574.37480098444</v>
      </c>
      <c r="AK38" s="217">
        <f t="shared" si="25"/>
        <v>0</v>
      </c>
      <c r="AL38" s="217">
        <v>0</v>
      </c>
      <c r="AM38" s="322">
        <f t="shared" si="14"/>
        <v>4987.506761053752</v>
      </c>
      <c r="AN38" s="322">
        <v>0</v>
      </c>
      <c r="AO38" s="322">
        <v>0</v>
      </c>
      <c r="AP38" s="322">
        <v>0</v>
      </c>
      <c r="AQ38" s="139">
        <f t="shared" si="15"/>
        <v>4987.506761053752</v>
      </c>
      <c r="AR38" s="139">
        <f t="shared" si="23"/>
        <v>3626.0737415405692</v>
      </c>
      <c r="AS38" s="328"/>
      <c r="AT38" s="148"/>
      <c r="AU38" s="44"/>
    </row>
    <row r="39" spans="1:47" ht="12.75">
      <c r="A39" s="45">
        <v>33</v>
      </c>
      <c r="B39" s="332">
        <f t="shared" si="1"/>
        <v>0.017</v>
      </c>
      <c r="C39" s="189">
        <f t="shared" si="16"/>
        <v>120625.76306107665</v>
      </c>
      <c r="D39" s="137">
        <v>0.03</v>
      </c>
      <c r="E39" s="44">
        <f t="shared" si="2"/>
        <v>-3618.7728918322996</v>
      </c>
      <c r="F39" s="44">
        <f t="shared" si="17"/>
        <v>686.0100606120058</v>
      </c>
      <c r="G39" s="141">
        <f t="shared" si="3"/>
        <v>117693.00022985636</v>
      </c>
      <c r="H39" s="44">
        <f t="shared" si="18"/>
        <v>48237.83801833731</v>
      </c>
      <c r="I39" s="44">
        <f t="shared" si="18"/>
        <v>52098.4935567951</v>
      </c>
      <c r="J39" s="44">
        <f t="shared" si="18"/>
        <v>11992.899018836059</v>
      </c>
      <c r="K39" s="44">
        <f t="shared" si="18"/>
        <v>13119.750241432015</v>
      </c>
      <c r="L39" s="44">
        <v>0</v>
      </c>
      <c r="M39" s="44">
        <v>0</v>
      </c>
      <c r="N39" s="44">
        <f t="shared" si="18"/>
        <v>0</v>
      </c>
      <c r="O39" s="44">
        <f t="shared" si="18"/>
        <v>0</v>
      </c>
      <c r="P39" s="141">
        <f t="shared" si="5"/>
        <v>60230.73703717337</v>
      </c>
      <c r="Q39" s="140">
        <f t="shared" si="6"/>
        <v>65218.24379822712</v>
      </c>
      <c r="R39" s="141">
        <f t="shared" si="7"/>
        <v>4987.506761053752</v>
      </c>
      <c r="S39" s="148">
        <v>0</v>
      </c>
      <c r="T39" s="148">
        <v>0</v>
      </c>
      <c r="U39" s="148">
        <v>0</v>
      </c>
      <c r="V39" s="388">
        <f t="shared" si="19"/>
        <v>0.0359</v>
      </c>
      <c r="W39" s="58">
        <f t="shared" si="20"/>
        <v>97685.763132213</v>
      </c>
      <c r="X39" s="58">
        <f t="shared" si="21"/>
        <v>24016.112707544464</v>
      </c>
      <c r="Y39" s="58">
        <f t="shared" si="8"/>
        <v>73669.65042466854</v>
      </c>
      <c r="Z39" s="58">
        <f t="shared" si="22"/>
        <v>595302.8483927259</v>
      </c>
      <c r="AA39" s="58">
        <f t="shared" si="9"/>
        <v>32413.97536391726</v>
      </c>
      <c r="AB39" s="58">
        <f t="shared" si="10"/>
        <v>2135.2063136548677</v>
      </c>
      <c r="AC39" s="58">
        <f t="shared" si="11"/>
        <v>2135.2063136548677</v>
      </c>
      <c r="AD39" s="58">
        <f t="shared" si="12"/>
        <v>14822.139172601175</v>
      </c>
      <c r="AE39" s="58">
        <v>435</v>
      </c>
      <c r="AF39" s="217">
        <f t="shared" si="13"/>
        <v>75957.63987137264</v>
      </c>
      <c r="AG39" s="141">
        <f t="shared" si="0"/>
        <v>-41735.360358483726</v>
      </c>
      <c r="AH39" s="318">
        <v>0</v>
      </c>
      <c r="AI39" s="217">
        <v>0</v>
      </c>
      <c r="AJ39" s="217">
        <f t="shared" si="26"/>
        <v>14822.139172601175</v>
      </c>
      <c r="AK39" s="217">
        <f t="shared" si="25"/>
        <v>0</v>
      </c>
      <c r="AL39" s="217">
        <v>0</v>
      </c>
      <c r="AM39" s="322">
        <f t="shared" si="14"/>
        <v>4987.506761053752</v>
      </c>
      <c r="AN39" s="322">
        <v>0</v>
      </c>
      <c r="AO39" s="322">
        <v>0</v>
      </c>
      <c r="AP39" s="322">
        <v>0</v>
      </c>
      <c r="AQ39" s="139">
        <f t="shared" si="15"/>
        <v>4987.506761053752</v>
      </c>
      <c r="AR39" s="139">
        <f t="shared" si="23"/>
        <v>3626.0737415405692</v>
      </c>
      <c r="AS39" s="328"/>
      <c r="AT39" s="148"/>
      <c r="AU39" s="44"/>
    </row>
    <row r="40" spans="1:47" ht="12.75">
      <c r="A40" s="45">
        <v>34</v>
      </c>
      <c r="B40" s="332">
        <f aca="true" t="shared" si="27" ref="B40:B56">B39</f>
        <v>0.017</v>
      </c>
      <c r="C40" s="189">
        <f t="shared" si="16"/>
        <v>122676.40103311495</v>
      </c>
      <c r="D40" s="137">
        <v>0.03</v>
      </c>
      <c r="E40" s="44">
        <f t="shared" si="2"/>
        <v>-3680.2920309934484</v>
      </c>
      <c r="F40" s="44">
        <f t="shared" si="17"/>
        <v>697.6722316424099</v>
      </c>
      <c r="G40" s="141">
        <f t="shared" si="3"/>
        <v>119693.78123376392</v>
      </c>
      <c r="H40" s="44">
        <f t="shared" si="18"/>
        <v>48237.83801833731</v>
      </c>
      <c r="I40" s="44">
        <f t="shared" si="18"/>
        <v>52098.4935567951</v>
      </c>
      <c r="J40" s="44">
        <f t="shared" si="18"/>
        <v>11992.899018836059</v>
      </c>
      <c r="K40" s="44">
        <f t="shared" si="18"/>
        <v>13119.750241432015</v>
      </c>
      <c r="L40" s="44">
        <v>0</v>
      </c>
      <c r="M40" s="44">
        <v>0</v>
      </c>
      <c r="N40" s="44">
        <f t="shared" si="18"/>
        <v>0</v>
      </c>
      <c r="O40" s="44">
        <f t="shared" si="18"/>
        <v>0</v>
      </c>
      <c r="P40" s="141">
        <f t="shared" si="5"/>
        <v>60230.73703717337</v>
      </c>
      <c r="Q40" s="140">
        <f t="shared" si="6"/>
        <v>65218.24379822712</v>
      </c>
      <c r="R40" s="141">
        <f t="shared" si="7"/>
        <v>4987.506761053752</v>
      </c>
      <c r="S40" s="148">
        <v>0</v>
      </c>
      <c r="T40" s="148">
        <v>0</v>
      </c>
      <c r="U40" s="148">
        <v>0</v>
      </c>
      <c r="V40" s="388">
        <f t="shared" si="19"/>
        <v>0.0359</v>
      </c>
      <c r="W40" s="58">
        <f t="shared" si="20"/>
        <v>97685.763132213</v>
      </c>
      <c r="X40" s="58">
        <f t="shared" si="21"/>
        <v>21371.372257298863</v>
      </c>
      <c r="Y40" s="58">
        <f t="shared" si="8"/>
        <v>76314.39087491414</v>
      </c>
      <c r="Z40" s="58">
        <f t="shared" si="22"/>
        <v>518988.4575178118</v>
      </c>
      <c r="AA40" s="58">
        <f t="shared" si="9"/>
        <v>32965.01294510385</v>
      </c>
      <c r="AB40" s="58">
        <f t="shared" si="10"/>
        <v>2171.5048209870006</v>
      </c>
      <c r="AC40" s="58">
        <f t="shared" si="11"/>
        <v>2171.5048209870006</v>
      </c>
      <c r="AD40" s="58">
        <f t="shared" si="12"/>
        <v>15074.115538535396</v>
      </c>
      <c r="AE40" s="58">
        <v>435</v>
      </c>
      <c r="AF40" s="217">
        <f t="shared" si="13"/>
        <v>74188.5103829121</v>
      </c>
      <c r="AG40" s="141">
        <f t="shared" si="0"/>
        <v>-45505.27085085181</v>
      </c>
      <c r="AH40" s="318">
        <v>0</v>
      </c>
      <c r="AI40" s="217">
        <v>0</v>
      </c>
      <c r="AJ40" s="217">
        <f t="shared" si="26"/>
        <v>15074.115538535396</v>
      </c>
      <c r="AK40" s="217">
        <f t="shared" si="25"/>
        <v>0</v>
      </c>
      <c r="AL40" s="217">
        <v>0</v>
      </c>
      <c r="AM40" s="322">
        <f t="shared" si="14"/>
        <v>4987.506761053752</v>
      </c>
      <c r="AN40" s="322">
        <v>0</v>
      </c>
      <c r="AO40" s="322">
        <v>0</v>
      </c>
      <c r="AP40" s="322">
        <v>0</v>
      </c>
      <c r="AQ40" s="139">
        <f t="shared" si="15"/>
        <v>4987.506761053752</v>
      </c>
      <c r="AR40" s="139">
        <f t="shared" si="23"/>
        <v>3626.0737415405692</v>
      </c>
      <c r="AS40" s="328"/>
      <c r="AT40" s="148"/>
      <c r="AU40" s="44"/>
    </row>
    <row r="41" spans="1:47" ht="12.75">
      <c r="A41" s="45">
        <v>35</v>
      </c>
      <c r="B41" s="332">
        <f t="shared" si="27"/>
        <v>0.017</v>
      </c>
      <c r="C41" s="189">
        <f t="shared" si="16"/>
        <v>124761.8998506779</v>
      </c>
      <c r="D41" s="137">
        <v>0.03</v>
      </c>
      <c r="E41" s="44">
        <f t="shared" si="2"/>
        <v>-3742.856995520337</v>
      </c>
      <c r="F41" s="44">
        <f t="shared" si="17"/>
        <v>709.5326595803308</v>
      </c>
      <c r="G41" s="141">
        <f t="shared" si="3"/>
        <v>121728.5755147379</v>
      </c>
      <c r="H41" s="44">
        <f t="shared" si="18"/>
        <v>48237.83801833731</v>
      </c>
      <c r="I41" s="44">
        <f t="shared" si="18"/>
        <v>52098.4935567951</v>
      </c>
      <c r="J41" s="44">
        <f t="shared" si="18"/>
        <v>11992.899018836059</v>
      </c>
      <c r="K41" s="44">
        <f t="shared" si="18"/>
        <v>13119.750241432015</v>
      </c>
      <c r="L41" s="44">
        <v>0</v>
      </c>
      <c r="M41" s="44">
        <v>0</v>
      </c>
      <c r="N41" s="44">
        <f t="shared" si="18"/>
        <v>0</v>
      </c>
      <c r="O41" s="44">
        <f t="shared" si="18"/>
        <v>0</v>
      </c>
      <c r="P41" s="141">
        <f t="shared" si="5"/>
        <v>60230.73703717337</v>
      </c>
      <c r="Q41" s="140">
        <f t="shared" si="6"/>
        <v>65218.24379822712</v>
      </c>
      <c r="R41" s="141">
        <f t="shared" si="7"/>
        <v>4987.506761053752</v>
      </c>
      <c r="S41" s="148">
        <v>0</v>
      </c>
      <c r="T41" s="148">
        <v>0</v>
      </c>
      <c r="U41" s="148">
        <v>0</v>
      </c>
      <c r="V41" s="388">
        <f t="shared" si="19"/>
        <v>0.0359</v>
      </c>
      <c r="W41" s="58">
        <f t="shared" si="20"/>
        <v>97685.763132213</v>
      </c>
      <c r="X41" s="58">
        <f t="shared" si="21"/>
        <v>18631.685624889444</v>
      </c>
      <c r="Y41" s="58">
        <f t="shared" si="8"/>
        <v>79054.07750732356</v>
      </c>
      <c r="Z41" s="58">
        <f t="shared" si="22"/>
        <v>439934.3800104882</v>
      </c>
      <c r="AA41" s="58">
        <f t="shared" si="9"/>
        <v>33525.41816517062</v>
      </c>
      <c r="AB41" s="58">
        <f t="shared" si="10"/>
        <v>2208.4204029437797</v>
      </c>
      <c r="AC41" s="58">
        <f t="shared" si="11"/>
        <v>2208.4204029437797</v>
      </c>
      <c r="AD41" s="58">
        <f t="shared" si="12"/>
        <v>15330.375502690498</v>
      </c>
      <c r="AE41" s="58">
        <v>435</v>
      </c>
      <c r="AF41" s="217">
        <f t="shared" si="13"/>
        <v>72339.32009863813</v>
      </c>
      <c r="AG41" s="141">
        <f t="shared" si="0"/>
        <v>-49389.25541609977</v>
      </c>
      <c r="AH41" s="318">
        <v>0</v>
      </c>
      <c r="AI41" s="217">
        <v>0</v>
      </c>
      <c r="AJ41" s="217">
        <f t="shared" si="26"/>
        <v>15330.375502690498</v>
      </c>
      <c r="AK41" s="217">
        <f t="shared" si="25"/>
        <v>0</v>
      </c>
      <c r="AL41" s="217">
        <v>0</v>
      </c>
      <c r="AM41" s="322">
        <f t="shared" si="14"/>
        <v>4987.506761053752</v>
      </c>
      <c r="AN41" s="322">
        <v>0</v>
      </c>
      <c r="AO41" s="322">
        <v>0</v>
      </c>
      <c r="AP41" s="322">
        <v>0</v>
      </c>
      <c r="AQ41" s="139">
        <f t="shared" si="15"/>
        <v>4987.506761053752</v>
      </c>
      <c r="AR41" s="139">
        <f t="shared" si="23"/>
        <v>3626.0737415405692</v>
      </c>
      <c r="AS41" s="328"/>
      <c r="AT41" s="148"/>
      <c r="AU41" s="44"/>
    </row>
    <row r="42" spans="1:47" ht="12.75">
      <c r="A42" s="45">
        <v>36</v>
      </c>
      <c r="B42" s="332">
        <f t="shared" si="27"/>
        <v>0.017</v>
      </c>
      <c r="C42" s="189">
        <f t="shared" si="16"/>
        <v>126882.85214813943</v>
      </c>
      <c r="D42" s="137">
        <v>0.03</v>
      </c>
      <c r="E42" s="44">
        <f t="shared" si="2"/>
        <v>-3806.4855644441827</v>
      </c>
      <c r="F42" s="44">
        <f t="shared" si="17"/>
        <v>721.5947147931964</v>
      </c>
      <c r="G42" s="141">
        <f t="shared" si="3"/>
        <v>123797.96129848844</v>
      </c>
      <c r="H42" s="44">
        <f t="shared" si="18"/>
        <v>48237.83801833731</v>
      </c>
      <c r="I42" s="44">
        <f t="shared" si="18"/>
        <v>52098.4935567951</v>
      </c>
      <c r="J42" s="44">
        <f t="shared" si="18"/>
        <v>11992.899018836059</v>
      </c>
      <c r="K42" s="44">
        <f t="shared" si="18"/>
        <v>13119.750241432015</v>
      </c>
      <c r="L42" s="44">
        <v>0</v>
      </c>
      <c r="M42" s="44">
        <v>0</v>
      </c>
      <c r="N42" s="44">
        <f t="shared" si="18"/>
        <v>0</v>
      </c>
      <c r="O42" s="44">
        <f t="shared" si="18"/>
        <v>0</v>
      </c>
      <c r="P42" s="141">
        <f t="shared" si="5"/>
        <v>60230.73703717337</v>
      </c>
      <c r="Q42" s="140">
        <f t="shared" si="6"/>
        <v>65218.24379822712</v>
      </c>
      <c r="R42" s="141">
        <f t="shared" si="7"/>
        <v>4987.506761053752</v>
      </c>
      <c r="S42" s="148">
        <v>0</v>
      </c>
      <c r="T42" s="148">
        <v>0</v>
      </c>
      <c r="U42" s="148">
        <v>0</v>
      </c>
      <c r="V42" s="388">
        <f t="shared" si="19"/>
        <v>0.0359</v>
      </c>
      <c r="W42" s="58">
        <f t="shared" si="20"/>
        <v>97685.763132213</v>
      </c>
      <c r="X42" s="58">
        <f t="shared" si="21"/>
        <v>15793.644242376527</v>
      </c>
      <c r="Y42" s="58">
        <f t="shared" si="8"/>
        <v>81892.11888983648</v>
      </c>
      <c r="Z42" s="58">
        <f t="shared" si="22"/>
        <v>358042.26112065173</v>
      </c>
      <c r="AA42" s="58">
        <f t="shared" si="9"/>
        <v>34095.35027397852</v>
      </c>
      <c r="AB42" s="58">
        <f t="shared" si="10"/>
        <v>2245.963549793824</v>
      </c>
      <c r="AC42" s="58">
        <f t="shared" si="11"/>
        <v>2245.963549793824</v>
      </c>
      <c r="AD42" s="58">
        <f t="shared" si="12"/>
        <v>15590.991886236237</v>
      </c>
      <c r="AE42" s="58">
        <v>435</v>
      </c>
      <c r="AF42" s="217">
        <f t="shared" si="13"/>
        <v>70406.91350217893</v>
      </c>
      <c r="AG42" s="141">
        <f t="shared" si="0"/>
        <v>-53391.04779630952</v>
      </c>
      <c r="AH42" s="318">
        <v>0</v>
      </c>
      <c r="AI42" s="217">
        <v>0</v>
      </c>
      <c r="AJ42" s="217">
        <f t="shared" si="26"/>
        <v>15590.991886236237</v>
      </c>
      <c r="AK42" s="217">
        <f t="shared" si="25"/>
        <v>0</v>
      </c>
      <c r="AL42" s="217">
        <v>0</v>
      </c>
      <c r="AM42" s="322">
        <f t="shared" si="14"/>
        <v>4987.506761053752</v>
      </c>
      <c r="AN42" s="322">
        <v>0</v>
      </c>
      <c r="AO42" s="322">
        <v>0</v>
      </c>
      <c r="AP42" s="322">
        <v>0</v>
      </c>
      <c r="AQ42" s="139">
        <f t="shared" si="15"/>
        <v>4987.506761053752</v>
      </c>
      <c r="AR42" s="139">
        <f t="shared" si="23"/>
        <v>3626.0737415405692</v>
      </c>
      <c r="AS42" s="328"/>
      <c r="AT42" s="148"/>
      <c r="AU42" s="44"/>
    </row>
    <row r="43" spans="1:47" ht="12.75">
      <c r="A43" s="45">
        <v>37</v>
      </c>
      <c r="B43" s="332">
        <f t="shared" si="27"/>
        <v>0.017</v>
      </c>
      <c r="C43" s="189">
        <f t="shared" si="16"/>
        <v>129039.8606346578</v>
      </c>
      <c r="D43" s="137">
        <v>0.03</v>
      </c>
      <c r="E43" s="44">
        <f t="shared" si="2"/>
        <v>-3871.195819039734</v>
      </c>
      <c r="F43" s="44">
        <f t="shared" si="17"/>
        <v>733.8618249446807</v>
      </c>
      <c r="G43" s="141">
        <f t="shared" si="3"/>
        <v>125902.52664056275</v>
      </c>
      <c r="H43" s="44">
        <f t="shared" si="18"/>
        <v>48237.83801833731</v>
      </c>
      <c r="I43" s="44">
        <f t="shared" si="18"/>
        <v>52098.4935567951</v>
      </c>
      <c r="J43" s="44">
        <f t="shared" si="18"/>
        <v>11992.899018836059</v>
      </c>
      <c r="K43" s="44">
        <f t="shared" si="18"/>
        <v>13119.750241432015</v>
      </c>
      <c r="L43" s="44">
        <v>0</v>
      </c>
      <c r="M43" s="44">
        <v>0</v>
      </c>
      <c r="N43" s="44">
        <f t="shared" si="18"/>
        <v>0</v>
      </c>
      <c r="O43" s="44">
        <f t="shared" si="18"/>
        <v>0</v>
      </c>
      <c r="P43" s="141">
        <f t="shared" si="5"/>
        <v>60230.73703717337</v>
      </c>
      <c r="Q43" s="140">
        <f t="shared" si="6"/>
        <v>65218.24379822712</v>
      </c>
      <c r="R43" s="141">
        <f t="shared" si="7"/>
        <v>4987.506761053752</v>
      </c>
      <c r="S43" s="148">
        <v>0</v>
      </c>
      <c r="T43" s="148">
        <v>0</v>
      </c>
      <c r="U43" s="148">
        <v>0</v>
      </c>
      <c r="V43" s="388">
        <f t="shared" si="19"/>
        <v>0.0359</v>
      </c>
      <c r="W43" s="58">
        <f t="shared" si="20"/>
        <v>97685.763132213</v>
      </c>
      <c r="X43" s="58">
        <f t="shared" si="21"/>
        <v>12853.717174231399</v>
      </c>
      <c r="Y43" s="58">
        <f t="shared" si="8"/>
        <v>84832.04595798161</v>
      </c>
      <c r="Z43" s="58">
        <f t="shared" si="22"/>
        <v>273210.2151626701</v>
      </c>
      <c r="AA43" s="58">
        <f t="shared" si="9"/>
        <v>34674.971228636154</v>
      </c>
      <c r="AB43" s="58">
        <f t="shared" si="10"/>
        <v>2284.144930140319</v>
      </c>
      <c r="AC43" s="58">
        <f t="shared" si="11"/>
        <v>2284.144930140319</v>
      </c>
      <c r="AD43" s="58">
        <f t="shared" si="12"/>
        <v>15856.038748302253</v>
      </c>
      <c r="AE43" s="58">
        <v>435</v>
      </c>
      <c r="AF43" s="217">
        <f t="shared" si="13"/>
        <v>68388.01701145044</v>
      </c>
      <c r="AG43" s="141">
        <f t="shared" si="0"/>
        <v>-57514.509629112305</v>
      </c>
      <c r="AH43" s="318">
        <v>0</v>
      </c>
      <c r="AI43" s="217">
        <v>0</v>
      </c>
      <c r="AJ43" s="217">
        <f t="shared" si="26"/>
        <v>15856.038748302253</v>
      </c>
      <c r="AK43" s="217">
        <f t="shared" si="25"/>
        <v>0</v>
      </c>
      <c r="AL43" s="217">
        <v>0</v>
      </c>
      <c r="AM43" s="322">
        <f t="shared" si="14"/>
        <v>4987.506761053752</v>
      </c>
      <c r="AN43" s="322">
        <v>0</v>
      </c>
      <c r="AO43" s="322">
        <v>0</v>
      </c>
      <c r="AP43" s="322">
        <v>0</v>
      </c>
      <c r="AQ43" s="139">
        <f t="shared" si="15"/>
        <v>4987.506761053752</v>
      </c>
      <c r="AR43" s="139">
        <f t="shared" si="23"/>
        <v>3626.0737415405692</v>
      </c>
      <c r="AS43" s="328"/>
      <c r="AT43" s="148"/>
      <c r="AU43" s="44"/>
    </row>
    <row r="44" spans="1:47" ht="12.75">
      <c r="A44" s="45">
        <v>38</v>
      </c>
      <c r="B44" s="332">
        <f t="shared" si="27"/>
        <v>0.017</v>
      </c>
      <c r="C44" s="189">
        <f t="shared" si="16"/>
        <v>131233.538265447</v>
      </c>
      <c r="D44" s="137">
        <v>0.03</v>
      </c>
      <c r="E44" s="44">
        <f t="shared" si="2"/>
        <v>-3937.0061479634096</v>
      </c>
      <c r="F44" s="44">
        <f t="shared" si="17"/>
        <v>746.3374759687404</v>
      </c>
      <c r="G44" s="141">
        <f t="shared" si="3"/>
        <v>128042.86959345233</v>
      </c>
      <c r="H44" s="44">
        <f t="shared" si="18"/>
        <v>48237.83801833731</v>
      </c>
      <c r="I44" s="44">
        <f t="shared" si="18"/>
        <v>52098.4935567951</v>
      </c>
      <c r="J44" s="44">
        <f t="shared" si="18"/>
        <v>11992.899018836059</v>
      </c>
      <c r="K44" s="44">
        <f t="shared" si="18"/>
        <v>13119.750241432015</v>
      </c>
      <c r="L44" s="44">
        <v>0</v>
      </c>
      <c r="M44" s="44">
        <v>0</v>
      </c>
      <c r="N44" s="44">
        <f t="shared" si="18"/>
        <v>0</v>
      </c>
      <c r="O44" s="44">
        <f t="shared" si="18"/>
        <v>0</v>
      </c>
      <c r="P44" s="141">
        <f t="shared" si="5"/>
        <v>60230.73703717337</v>
      </c>
      <c r="Q44" s="140">
        <f t="shared" si="6"/>
        <v>65218.24379822712</v>
      </c>
      <c r="R44" s="141">
        <f t="shared" si="7"/>
        <v>4987.506761053752</v>
      </c>
      <c r="S44" s="148">
        <v>0</v>
      </c>
      <c r="T44" s="148">
        <v>0</v>
      </c>
      <c r="U44" s="148">
        <v>0</v>
      </c>
      <c r="V44" s="388">
        <f t="shared" si="19"/>
        <v>0.0359</v>
      </c>
      <c r="W44" s="58">
        <f t="shared" si="20"/>
        <v>97685.763132213</v>
      </c>
      <c r="X44" s="58">
        <f t="shared" si="21"/>
        <v>9808.246724339859</v>
      </c>
      <c r="Y44" s="58">
        <f t="shared" si="8"/>
        <v>87877.51640787315</v>
      </c>
      <c r="Z44" s="58">
        <f t="shared" si="22"/>
        <v>185332.698754797</v>
      </c>
      <c r="AA44" s="58">
        <f t="shared" si="9"/>
        <v>35264.44573952297</v>
      </c>
      <c r="AB44" s="58">
        <f t="shared" si="10"/>
        <v>2322.9753939527045</v>
      </c>
      <c r="AC44" s="58">
        <f t="shared" si="11"/>
        <v>2322.9753939527045</v>
      </c>
      <c r="AD44" s="58">
        <f t="shared" si="12"/>
        <v>16125.591407023392</v>
      </c>
      <c r="AE44" s="58">
        <v>435</v>
      </c>
      <c r="AF44" s="217">
        <f t="shared" si="13"/>
        <v>66279.23465879163</v>
      </c>
      <c r="AG44" s="141">
        <f t="shared" si="0"/>
        <v>-61763.6349346607</v>
      </c>
      <c r="AH44" s="318">
        <v>0</v>
      </c>
      <c r="AI44" s="217">
        <v>0</v>
      </c>
      <c r="AJ44" s="217">
        <f t="shared" si="26"/>
        <v>16125.591407023392</v>
      </c>
      <c r="AK44" s="217">
        <f t="shared" si="25"/>
        <v>0</v>
      </c>
      <c r="AL44" s="217">
        <v>0</v>
      </c>
      <c r="AM44" s="322">
        <f t="shared" si="14"/>
        <v>4987.506761053752</v>
      </c>
      <c r="AN44" s="322">
        <v>0</v>
      </c>
      <c r="AO44" s="322">
        <v>0</v>
      </c>
      <c r="AP44" s="322">
        <v>0</v>
      </c>
      <c r="AQ44" s="139">
        <f t="shared" si="15"/>
        <v>4987.506761053752</v>
      </c>
      <c r="AR44" s="139">
        <f t="shared" si="23"/>
        <v>3626.0737415405692</v>
      </c>
      <c r="AS44" s="328"/>
      <c r="AT44" s="148"/>
      <c r="AU44" s="44"/>
    </row>
    <row r="45" spans="1:47" ht="12.75">
      <c r="A45" s="45">
        <v>39</v>
      </c>
      <c r="B45" s="332">
        <f t="shared" si="27"/>
        <v>0.017</v>
      </c>
      <c r="C45" s="189">
        <f t="shared" si="16"/>
        <v>133464.50841595957</v>
      </c>
      <c r="D45" s="137">
        <v>0.03</v>
      </c>
      <c r="E45" s="44">
        <f t="shared" si="2"/>
        <v>-4003.935252478787</v>
      </c>
      <c r="F45" s="44">
        <f t="shared" si="17"/>
        <v>759.0252130602089</v>
      </c>
      <c r="G45" s="141">
        <f t="shared" si="3"/>
        <v>130219.59837654099</v>
      </c>
      <c r="H45" s="44">
        <f t="shared" si="18"/>
        <v>48237.83801833731</v>
      </c>
      <c r="I45" s="44">
        <f t="shared" si="18"/>
        <v>52098.4935567951</v>
      </c>
      <c r="J45" s="44">
        <f t="shared" si="18"/>
        <v>11992.899018836059</v>
      </c>
      <c r="K45" s="44">
        <f t="shared" si="18"/>
        <v>13119.750241432015</v>
      </c>
      <c r="L45" s="44">
        <v>0</v>
      </c>
      <c r="M45" s="44">
        <v>0</v>
      </c>
      <c r="N45" s="44">
        <f t="shared" si="18"/>
        <v>0</v>
      </c>
      <c r="O45" s="44">
        <f t="shared" si="18"/>
        <v>0</v>
      </c>
      <c r="P45" s="141">
        <f t="shared" si="5"/>
        <v>60230.73703717337</v>
      </c>
      <c r="Q45" s="140">
        <f t="shared" si="6"/>
        <v>65218.24379822712</v>
      </c>
      <c r="R45" s="141">
        <f t="shared" si="7"/>
        <v>4987.506761053752</v>
      </c>
      <c r="S45" s="148">
        <v>0</v>
      </c>
      <c r="T45" s="148">
        <v>0</v>
      </c>
      <c r="U45" s="148">
        <v>0</v>
      </c>
      <c r="V45" s="388">
        <f t="shared" si="19"/>
        <v>0.0359</v>
      </c>
      <c r="W45" s="58">
        <f t="shared" si="20"/>
        <v>97685.763132213</v>
      </c>
      <c r="X45" s="58">
        <f t="shared" si="21"/>
        <v>6653.443885297213</v>
      </c>
      <c r="Y45" s="58">
        <f t="shared" si="8"/>
        <v>91032.3192469158</v>
      </c>
      <c r="Z45" s="58">
        <f t="shared" si="22"/>
        <v>94300.3795078812</v>
      </c>
      <c r="AA45" s="58">
        <f t="shared" si="9"/>
        <v>35863.94131709486</v>
      </c>
      <c r="AB45" s="58">
        <f t="shared" si="10"/>
        <v>2362.4659756499004</v>
      </c>
      <c r="AC45" s="58">
        <f t="shared" si="11"/>
        <v>2362.4659756499004</v>
      </c>
      <c r="AD45" s="58">
        <f t="shared" si="12"/>
        <v>16399.72646094279</v>
      </c>
      <c r="AE45" s="58">
        <v>435</v>
      </c>
      <c r="AF45" s="217">
        <f t="shared" si="13"/>
        <v>64077.04361463468</v>
      </c>
      <c r="AG45" s="141">
        <f t="shared" si="0"/>
        <v>-66142.55476190631</v>
      </c>
      <c r="AH45" s="318">
        <v>0</v>
      </c>
      <c r="AI45" s="217">
        <v>0</v>
      </c>
      <c r="AJ45" s="217">
        <f t="shared" si="26"/>
        <v>16399.72646094279</v>
      </c>
      <c r="AK45" s="217">
        <f t="shared" si="25"/>
        <v>0</v>
      </c>
      <c r="AL45" s="217">
        <v>0</v>
      </c>
      <c r="AM45" s="322">
        <f t="shared" si="14"/>
        <v>4987.506761053752</v>
      </c>
      <c r="AN45" s="322">
        <v>0</v>
      </c>
      <c r="AO45" s="322">
        <v>0</v>
      </c>
      <c r="AP45" s="322">
        <v>0</v>
      </c>
      <c r="AQ45" s="139">
        <f t="shared" si="15"/>
        <v>4987.506761053752</v>
      </c>
      <c r="AR45" s="139">
        <f t="shared" si="23"/>
        <v>3626.0737415405692</v>
      </c>
      <c r="AS45" s="328"/>
      <c r="AT45" s="148"/>
      <c r="AU45" s="44"/>
    </row>
    <row r="46" spans="1:47" ht="13.5" thickBot="1">
      <c r="A46" s="368">
        <v>40</v>
      </c>
      <c r="B46" s="369">
        <f t="shared" si="27"/>
        <v>0.017</v>
      </c>
      <c r="C46" s="370">
        <f t="shared" si="16"/>
        <v>135733.4050590309</v>
      </c>
      <c r="D46" s="371">
        <v>0.03</v>
      </c>
      <c r="E46" s="343">
        <f t="shared" si="2"/>
        <v>-4072.0021517709265</v>
      </c>
      <c r="F46" s="343">
        <f t="shared" si="17"/>
        <v>771.9286416822324</v>
      </c>
      <c r="G46" s="330">
        <f t="shared" si="3"/>
        <v>132433.3315489422</v>
      </c>
      <c r="H46" s="343">
        <f t="shared" si="18"/>
        <v>48237.83801833731</v>
      </c>
      <c r="I46" s="343">
        <f t="shared" si="18"/>
        <v>52098.4935567951</v>
      </c>
      <c r="J46" s="343">
        <f t="shared" si="18"/>
        <v>11992.899018836059</v>
      </c>
      <c r="K46" s="343">
        <f t="shared" si="18"/>
        <v>13119.750241432015</v>
      </c>
      <c r="L46" s="343">
        <v>0</v>
      </c>
      <c r="M46" s="343">
        <v>0</v>
      </c>
      <c r="N46" s="343">
        <f t="shared" si="18"/>
        <v>0</v>
      </c>
      <c r="O46" s="343">
        <f t="shared" si="18"/>
        <v>0</v>
      </c>
      <c r="P46" s="330">
        <f t="shared" si="5"/>
        <v>60230.73703717337</v>
      </c>
      <c r="Q46" s="372">
        <f t="shared" si="6"/>
        <v>65218.24379822712</v>
      </c>
      <c r="R46" s="330">
        <f t="shared" si="7"/>
        <v>4987.506761053752</v>
      </c>
      <c r="S46" s="348">
        <v>0</v>
      </c>
      <c r="T46" s="348">
        <v>0</v>
      </c>
      <c r="U46" s="348">
        <v>0</v>
      </c>
      <c r="V46" s="371">
        <f t="shared" si="19"/>
        <v>0.0359</v>
      </c>
      <c r="W46" s="343">
        <f t="shared" si="20"/>
        <v>97685.763132213</v>
      </c>
      <c r="X46" s="343">
        <f t="shared" si="21"/>
        <v>3385.383624332935</v>
      </c>
      <c r="Y46" s="343">
        <f t="shared" si="8"/>
        <v>94300.37950788008</v>
      </c>
      <c r="Z46" s="343">
        <f t="shared" si="22"/>
        <v>1.1204974725842476E-09</v>
      </c>
      <c r="AA46" s="343">
        <f t="shared" si="9"/>
        <v>36473.62831948548</v>
      </c>
      <c r="AB46" s="343">
        <f t="shared" si="10"/>
        <v>2402.6278972359487</v>
      </c>
      <c r="AC46" s="343">
        <f t="shared" si="11"/>
        <v>2402.6278972359487</v>
      </c>
      <c r="AD46" s="343">
        <f t="shared" si="12"/>
        <v>16678.521810778817</v>
      </c>
      <c r="AE46" s="389">
        <v>435</v>
      </c>
      <c r="AF46" s="217">
        <f t="shared" si="13"/>
        <v>61777.78954906913</v>
      </c>
      <c r="AG46" s="330">
        <f t="shared" si="0"/>
        <v>-70655.54199987306</v>
      </c>
      <c r="AH46" s="356">
        <v>0</v>
      </c>
      <c r="AI46" s="349">
        <v>0</v>
      </c>
      <c r="AJ46" s="349">
        <f t="shared" si="26"/>
        <v>16678.521810778817</v>
      </c>
      <c r="AK46" s="349">
        <f t="shared" si="25"/>
        <v>0</v>
      </c>
      <c r="AL46" s="349">
        <v>0</v>
      </c>
      <c r="AM46" s="355">
        <f t="shared" si="14"/>
        <v>4987.506761053752</v>
      </c>
      <c r="AN46" s="355">
        <v>0</v>
      </c>
      <c r="AO46" s="355">
        <v>0</v>
      </c>
      <c r="AP46" s="355">
        <v>0</v>
      </c>
      <c r="AQ46" s="330">
        <f t="shared" si="15"/>
        <v>4987.506761053752</v>
      </c>
      <c r="AR46" s="330">
        <f t="shared" si="23"/>
        <v>3626.0737415405692</v>
      </c>
      <c r="AS46" s="342"/>
      <c r="AT46" s="348"/>
      <c r="AU46" s="44"/>
    </row>
    <row r="47" spans="1:47" ht="12.75">
      <c r="A47" s="45">
        <v>41</v>
      </c>
      <c r="B47" s="332">
        <f t="shared" si="27"/>
        <v>0.017</v>
      </c>
      <c r="C47" s="190"/>
      <c r="D47" s="44"/>
      <c r="E47" s="44"/>
      <c r="F47" s="44"/>
      <c r="G47" s="374">
        <f t="shared" si="3"/>
        <v>0</v>
      </c>
      <c r="H47" s="44"/>
      <c r="I47" s="44"/>
      <c r="J47" s="373">
        <f aca="true" t="shared" si="28" ref="J47:K56">J46</f>
        <v>11992.899018836059</v>
      </c>
      <c r="K47" s="373">
        <f t="shared" si="28"/>
        <v>13119.750241432015</v>
      </c>
      <c r="L47" s="44"/>
      <c r="M47" s="44"/>
      <c r="N47" s="373">
        <f aca="true" t="shared" si="29" ref="N47:O56">N46</f>
        <v>0</v>
      </c>
      <c r="O47" s="373">
        <f t="shared" si="29"/>
        <v>0</v>
      </c>
      <c r="P47" s="374">
        <f t="shared" si="5"/>
        <v>11992.899018836059</v>
      </c>
      <c r="Q47" s="377">
        <f t="shared" si="6"/>
        <v>13119.750241432015</v>
      </c>
      <c r="R47" s="374">
        <f t="shared" si="7"/>
        <v>1126.8512225959566</v>
      </c>
      <c r="S47" s="375">
        <v>0</v>
      </c>
      <c r="T47" s="375">
        <v>0</v>
      </c>
      <c r="U47" s="375">
        <v>0</v>
      </c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217">
        <f t="shared" si="13"/>
        <v>0</v>
      </c>
      <c r="AG47" s="141"/>
      <c r="AH47" s="318"/>
      <c r="AI47" s="217"/>
      <c r="AJ47" s="217"/>
      <c r="AK47" s="217"/>
      <c r="AL47" s="217"/>
      <c r="AM47" s="322"/>
      <c r="AN47" s="322"/>
      <c r="AO47" s="322"/>
      <c r="AP47" s="322"/>
      <c r="AQ47" s="139"/>
      <c r="AR47" s="139"/>
      <c r="AS47" s="328"/>
      <c r="AT47" s="148"/>
      <c r="AU47" s="44"/>
    </row>
    <row r="48" spans="1:47" ht="12.75">
      <c r="A48" s="45">
        <v>42</v>
      </c>
      <c r="B48" s="332">
        <f t="shared" si="27"/>
        <v>0.017</v>
      </c>
      <c r="C48" s="190"/>
      <c r="D48" s="44"/>
      <c r="E48" s="44"/>
      <c r="F48" s="44"/>
      <c r="G48" s="374">
        <f t="shared" si="3"/>
        <v>0</v>
      </c>
      <c r="H48" s="44"/>
      <c r="I48" s="44"/>
      <c r="J48" s="373">
        <f t="shared" si="28"/>
        <v>11992.899018836059</v>
      </c>
      <c r="K48" s="373">
        <f t="shared" si="28"/>
        <v>13119.750241432015</v>
      </c>
      <c r="L48" s="44"/>
      <c r="M48" s="44"/>
      <c r="N48" s="373">
        <f t="shared" si="29"/>
        <v>0</v>
      </c>
      <c r="O48" s="373">
        <f t="shared" si="29"/>
        <v>0</v>
      </c>
      <c r="P48" s="374">
        <f t="shared" si="5"/>
        <v>11992.899018836059</v>
      </c>
      <c r="Q48" s="377">
        <f t="shared" si="6"/>
        <v>13119.750241432015</v>
      </c>
      <c r="R48" s="374">
        <f t="shared" si="7"/>
        <v>1126.8512225959566</v>
      </c>
      <c r="S48" s="375">
        <v>0</v>
      </c>
      <c r="T48" s="375">
        <v>0</v>
      </c>
      <c r="U48" s="375">
        <v>0</v>
      </c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217">
        <f t="shared" si="13"/>
        <v>0</v>
      </c>
      <c r="AG48" s="141"/>
      <c r="AH48" s="318"/>
      <c r="AI48" s="217"/>
      <c r="AJ48" s="217"/>
      <c r="AK48" s="217"/>
      <c r="AL48" s="217"/>
      <c r="AM48" s="322"/>
      <c r="AN48" s="322"/>
      <c r="AO48" s="322"/>
      <c r="AP48" s="322"/>
      <c r="AQ48" s="139"/>
      <c r="AR48" s="139"/>
      <c r="AS48" s="328"/>
      <c r="AT48" s="148"/>
      <c r="AU48" s="44"/>
    </row>
    <row r="49" spans="1:47" ht="12.75">
      <c r="A49" s="45">
        <v>43</v>
      </c>
      <c r="B49" s="332">
        <f t="shared" si="27"/>
        <v>0.017</v>
      </c>
      <c r="C49" s="190"/>
      <c r="D49" s="44"/>
      <c r="E49" s="44"/>
      <c r="F49" s="44"/>
      <c r="G49" s="374">
        <f t="shared" si="3"/>
        <v>0</v>
      </c>
      <c r="H49" s="44"/>
      <c r="I49" s="44"/>
      <c r="J49" s="373">
        <f t="shared" si="28"/>
        <v>11992.899018836059</v>
      </c>
      <c r="K49" s="373">
        <f t="shared" si="28"/>
        <v>13119.750241432015</v>
      </c>
      <c r="L49" s="44"/>
      <c r="M49" s="44"/>
      <c r="N49" s="373">
        <f t="shared" si="29"/>
        <v>0</v>
      </c>
      <c r="O49" s="373">
        <f t="shared" si="29"/>
        <v>0</v>
      </c>
      <c r="P49" s="374">
        <f t="shared" si="5"/>
        <v>11992.899018836059</v>
      </c>
      <c r="Q49" s="377">
        <f t="shared" si="6"/>
        <v>13119.750241432015</v>
      </c>
      <c r="R49" s="374">
        <f t="shared" si="7"/>
        <v>1126.8512225959566</v>
      </c>
      <c r="S49" s="375">
        <v>0</v>
      </c>
      <c r="T49" s="375">
        <v>0</v>
      </c>
      <c r="U49" s="375">
        <v>0</v>
      </c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217">
        <f t="shared" si="13"/>
        <v>0</v>
      </c>
      <c r="AG49" s="141"/>
      <c r="AH49" s="318"/>
      <c r="AI49" s="217"/>
      <c r="AJ49" s="217"/>
      <c r="AK49" s="217"/>
      <c r="AL49" s="217"/>
      <c r="AM49" s="322"/>
      <c r="AN49" s="322"/>
      <c r="AO49" s="322"/>
      <c r="AP49" s="322"/>
      <c r="AQ49" s="139"/>
      <c r="AR49" s="139"/>
      <c r="AS49" s="328"/>
      <c r="AT49" s="148"/>
      <c r="AU49" s="44"/>
    </row>
    <row r="50" spans="1:47" ht="12.75">
      <c r="A50" s="45">
        <v>44</v>
      </c>
      <c r="B50" s="332">
        <f t="shared" si="27"/>
        <v>0.017</v>
      </c>
      <c r="C50" s="190"/>
      <c r="D50" s="44"/>
      <c r="E50" s="44"/>
      <c r="F50" s="44"/>
      <c r="G50" s="374">
        <f t="shared" si="3"/>
        <v>0</v>
      </c>
      <c r="H50" s="44"/>
      <c r="I50" s="44"/>
      <c r="J50" s="373">
        <f t="shared" si="28"/>
        <v>11992.899018836059</v>
      </c>
      <c r="K50" s="373">
        <f t="shared" si="28"/>
        <v>13119.750241432015</v>
      </c>
      <c r="L50" s="44"/>
      <c r="M50" s="44"/>
      <c r="N50" s="373">
        <f t="shared" si="29"/>
        <v>0</v>
      </c>
      <c r="O50" s="373">
        <f t="shared" si="29"/>
        <v>0</v>
      </c>
      <c r="P50" s="374">
        <f t="shared" si="5"/>
        <v>11992.899018836059</v>
      </c>
      <c r="Q50" s="377">
        <f t="shared" si="6"/>
        <v>13119.750241432015</v>
      </c>
      <c r="R50" s="374">
        <f t="shared" si="7"/>
        <v>1126.8512225959566</v>
      </c>
      <c r="S50" s="375">
        <v>0</v>
      </c>
      <c r="T50" s="375">
        <v>0</v>
      </c>
      <c r="U50" s="375">
        <v>0</v>
      </c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217">
        <f t="shared" si="13"/>
        <v>0</v>
      </c>
      <c r="AG50" s="141"/>
      <c r="AH50" s="318"/>
      <c r="AI50" s="217"/>
      <c r="AJ50" s="217"/>
      <c r="AK50" s="217"/>
      <c r="AL50" s="217"/>
      <c r="AM50" s="322"/>
      <c r="AN50" s="322"/>
      <c r="AO50" s="322"/>
      <c r="AP50" s="322"/>
      <c r="AQ50" s="139"/>
      <c r="AR50" s="139"/>
      <c r="AS50" s="328"/>
      <c r="AT50" s="148"/>
      <c r="AU50" s="44"/>
    </row>
    <row r="51" spans="1:47" ht="12.75">
      <c r="A51" s="45">
        <v>45</v>
      </c>
      <c r="B51" s="332">
        <f t="shared" si="27"/>
        <v>0.017</v>
      </c>
      <c r="C51" s="190"/>
      <c r="D51" s="44"/>
      <c r="E51" s="44"/>
      <c r="F51" s="44"/>
      <c r="G51" s="374">
        <f t="shared" si="3"/>
        <v>0</v>
      </c>
      <c r="H51" s="44"/>
      <c r="I51" s="44"/>
      <c r="J51" s="373">
        <f t="shared" si="28"/>
        <v>11992.899018836059</v>
      </c>
      <c r="K51" s="373">
        <f t="shared" si="28"/>
        <v>13119.750241432015</v>
      </c>
      <c r="L51" s="44"/>
      <c r="M51" s="44"/>
      <c r="N51" s="373">
        <f t="shared" si="29"/>
        <v>0</v>
      </c>
      <c r="O51" s="373">
        <f t="shared" si="29"/>
        <v>0</v>
      </c>
      <c r="P51" s="374">
        <f t="shared" si="5"/>
        <v>11992.899018836059</v>
      </c>
      <c r="Q51" s="377">
        <f t="shared" si="6"/>
        <v>13119.750241432015</v>
      </c>
      <c r="R51" s="374">
        <f t="shared" si="7"/>
        <v>1126.8512225959566</v>
      </c>
      <c r="S51" s="375">
        <v>0</v>
      </c>
      <c r="T51" s="375">
        <v>0</v>
      </c>
      <c r="U51" s="375">
        <v>0</v>
      </c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217">
        <f t="shared" si="13"/>
        <v>0</v>
      </c>
      <c r="AG51" s="141"/>
      <c r="AH51" s="318"/>
      <c r="AI51" s="217"/>
      <c r="AJ51" s="217"/>
      <c r="AK51" s="217"/>
      <c r="AL51" s="217"/>
      <c r="AM51" s="322"/>
      <c r="AN51" s="322"/>
      <c r="AO51" s="322"/>
      <c r="AP51" s="322"/>
      <c r="AQ51" s="139"/>
      <c r="AR51" s="139"/>
      <c r="AS51" s="328"/>
      <c r="AT51" s="148"/>
      <c r="AU51" s="44"/>
    </row>
    <row r="52" spans="1:47" ht="12.75">
      <c r="A52" s="45">
        <v>46</v>
      </c>
      <c r="B52" s="332">
        <f t="shared" si="27"/>
        <v>0.017</v>
      </c>
      <c r="C52" s="190"/>
      <c r="D52" s="44"/>
      <c r="E52" s="44"/>
      <c r="F52" s="44"/>
      <c r="G52" s="374">
        <f t="shared" si="3"/>
        <v>0</v>
      </c>
      <c r="H52" s="44"/>
      <c r="I52" s="44"/>
      <c r="J52" s="373">
        <f t="shared" si="28"/>
        <v>11992.899018836059</v>
      </c>
      <c r="K52" s="373">
        <f t="shared" si="28"/>
        <v>13119.750241432015</v>
      </c>
      <c r="L52" s="44"/>
      <c r="M52" s="44"/>
      <c r="N52" s="373">
        <f t="shared" si="29"/>
        <v>0</v>
      </c>
      <c r="O52" s="373">
        <f t="shared" si="29"/>
        <v>0</v>
      </c>
      <c r="P52" s="374">
        <f t="shared" si="5"/>
        <v>11992.899018836059</v>
      </c>
      <c r="Q52" s="377">
        <f t="shared" si="6"/>
        <v>13119.750241432015</v>
      </c>
      <c r="R52" s="374">
        <f t="shared" si="7"/>
        <v>1126.8512225959566</v>
      </c>
      <c r="S52" s="375">
        <v>0</v>
      </c>
      <c r="T52" s="375">
        <v>0</v>
      </c>
      <c r="U52" s="375">
        <v>0</v>
      </c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217">
        <f t="shared" si="13"/>
        <v>0</v>
      </c>
      <c r="AG52" s="141"/>
      <c r="AH52" s="318"/>
      <c r="AI52" s="217"/>
      <c r="AJ52" s="217"/>
      <c r="AK52" s="217"/>
      <c r="AL52" s="217"/>
      <c r="AM52" s="322"/>
      <c r="AN52" s="322"/>
      <c r="AO52" s="322"/>
      <c r="AP52" s="322"/>
      <c r="AQ52" s="139"/>
      <c r="AR52" s="139"/>
      <c r="AS52" s="328"/>
      <c r="AT52" s="148"/>
      <c r="AU52" s="44"/>
    </row>
    <row r="53" spans="1:47" ht="12.75">
      <c r="A53" s="45">
        <v>47</v>
      </c>
      <c r="B53" s="332">
        <f t="shared" si="27"/>
        <v>0.017</v>
      </c>
      <c r="C53" s="190"/>
      <c r="D53" s="44"/>
      <c r="E53" s="44"/>
      <c r="F53" s="44"/>
      <c r="G53" s="374">
        <f t="shared" si="3"/>
        <v>0</v>
      </c>
      <c r="H53" s="44"/>
      <c r="I53" s="44"/>
      <c r="J53" s="373">
        <f t="shared" si="28"/>
        <v>11992.899018836059</v>
      </c>
      <c r="K53" s="373">
        <f t="shared" si="28"/>
        <v>13119.750241432015</v>
      </c>
      <c r="L53" s="44"/>
      <c r="M53" s="44"/>
      <c r="N53" s="373">
        <f t="shared" si="29"/>
        <v>0</v>
      </c>
      <c r="O53" s="373">
        <f t="shared" si="29"/>
        <v>0</v>
      </c>
      <c r="P53" s="374">
        <f t="shared" si="5"/>
        <v>11992.899018836059</v>
      </c>
      <c r="Q53" s="377">
        <f t="shared" si="6"/>
        <v>13119.750241432015</v>
      </c>
      <c r="R53" s="374">
        <f t="shared" si="7"/>
        <v>1126.8512225959566</v>
      </c>
      <c r="S53" s="375">
        <v>0</v>
      </c>
      <c r="T53" s="375">
        <v>0</v>
      </c>
      <c r="U53" s="375">
        <v>0</v>
      </c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217">
        <f t="shared" si="13"/>
        <v>0</v>
      </c>
      <c r="AG53" s="141"/>
      <c r="AH53" s="318"/>
      <c r="AI53" s="217"/>
      <c r="AJ53" s="217"/>
      <c r="AK53" s="217"/>
      <c r="AL53" s="217"/>
      <c r="AM53" s="322"/>
      <c r="AN53" s="322"/>
      <c r="AO53" s="322"/>
      <c r="AP53" s="322"/>
      <c r="AQ53" s="139"/>
      <c r="AR53" s="139"/>
      <c r="AS53" s="328"/>
      <c r="AT53" s="148"/>
      <c r="AU53" s="44"/>
    </row>
    <row r="54" spans="1:47" ht="12.75">
      <c r="A54" s="45">
        <v>48</v>
      </c>
      <c r="B54" s="332">
        <f t="shared" si="27"/>
        <v>0.017</v>
      </c>
      <c r="C54" s="190"/>
      <c r="D54" s="44"/>
      <c r="E54" s="44"/>
      <c r="F54" s="44"/>
      <c r="G54" s="374">
        <f t="shared" si="3"/>
        <v>0</v>
      </c>
      <c r="H54" s="44"/>
      <c r="I54" s="44"/>
      <c r="J54" s="373">
        <f t="shared" si="28"/>
        <v>11992.899018836059</v>
      </c>
      <c r="K54" s="373">
        <f t="shared" si="28"/>
        <v>13119.750241432015</v>
      </c>
      <c r="L54" s="44"/>
      <c r="M54" s="44"/>
      <c r="N54" s="373">
        <f t="shared" si="29"/>
        <v>0</v>
      </c>
      <c r="O54" s="373">
        <f t="shared" si="29"/>
        <v>0</v>
      </c>
      <c r="P54" s="374">
        <f t="shared" si="5"/>
        <v>11992.899018836059</v>
      </c>
      <c r="Q54" s="377">
        <f t="shared" si="6"/>
        <v>13119.750241432015</v>
      </c>
      <c r="R54" s="374">
        <f t="shared" si="7"/>
        <v>1126.8512225959566</v>
      </c>
      <c r="S54" s="375">
        <v>0</v>
      </c>
      <c r="T54" s="375">
        <v>0</v>
      </c>
      <c r="U54" s="375">
        <v>0</v>
      </c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217">
        <f t="shared" si="13"/>
        <v>0</v>
      </c>
      <c r="AG54" s="141"/>
      <c r="AH54" s="318"/>
      <c r="AI54" s="217"/>
      <c r="AJ54" s="217"/>
      <c r="AK54" s="217"/>
      <c r="AL54" s="217"/>
      <c r="AM54" s="322"/>
      <c r="AN54" s="322"/>
      <c r="AO54" s="322"/>
      <c r="AP54" s="322"/>
      <c r="AQ54" s="139"/>
      <c r="AR54" s="139"/>
      <c r="AS54" s="328"/>
      <c r="AT54" s="148"/>
      <c r="AU54" s="44"/>
    </row>
    <row r="55" spans="1:47" ht="12.75">
      <c r="A55" s="45">
        <v>49</v>
      </c>
      <c r="B55" s="332">
        <f t="shared" si="27"/>
        <v>0.017</v>
      </c>
      <c r="C55" s="190"/>
      <c r="D55" s="44"/>
      <c r="E55" s="44"/>
      <c r="F55" s="44"/>
      <c r="G55" s="374">
        <f t="shared" si="3"/>
        <v>0</v>
      </c>
      <c r="H55" s="44"/>
      <c r="I55" s="44"/>
      <c r="J55" s="373">
        <f t="shared" si="28"/>
        <v>11992.899018836059</v>
      </c>
      <c r="K55" s="373">
        <f t="shared" si="28"/>
        <v>13119.750241432015</v>
      </c>
      <c r="L55" s="44"/>
      <c r="M55" s="44"/>
      <c r="N55" s="373">
        <f t="shared" si="29"/>
        <v>0</v>
      </c>
      <c r="O55" s="373">
        <f t="shared" si="29"/>
        <v>0</v>
      </c>
      <c r="P55" s="374">
        <f t="shared" si="5"/>
        <v>11992.899018836059</v>
      </c>
      <c r="Q55" s="377">
        <f t="shared" si="6"/>
        <v>13119.750241432015</v>
      </c>
      <c r="R55" s="374">
        <f t="shared" si="7"/>
        <v>1126.8512225959566</v>
      </c>
      <c r="S55" s="375">
        <v>0</v>
      </c>
      <c r="T55" s="375">
        <v>0</v>
      </c>
      <c r="U55" s="375">
        <v>0</v>
      </c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217">
        <f t="shared" si="13"/>
        <v>0</v>
      </c>
      <c r="AG55" s="141"/>
      <c r="AH55" s="318"/>
      <c r="AI55" s="217"/>
      <c r="AJ55" s="217"/>
      <c r="AK55" s="217"/>
      <c r="AL55" s="217"/>
      <c r="AM55" s="322"/>
      <c r="AN55" s="322"/>
      <c r="AO55" s="322"/>
      <c r="AP55" s="322"/>
      <c r="AQ55" s="139"/>
      <c r="AR55" s="139"/>
      <c r="AS55" s="328"/>
      <c r="AT55" s="148"/>
      <c r="AU55" s="44"/>
    </row>
    <row r="56" spans="1:47" ht="13.5" thickBot="1">
      <c r="A56" s="45">
        <v>50</v>
      </c>
      <c r="B56" s="332">
        <f t="shared" si="27"/>
        <v>0.017</v>
      </c>
      <c r="C56" s="190"/>
      <c r="D56" s="44"/>
      <c r="E56" s="44"/>
      <c r="F56" s="44"/>
      <c r="G56" s="374">
        <f t="shared" si="3"/>
        <v>0</v>
      </c>
      <c r="H56" s="44"/>
      <c r="I56" s="44"/>
      <c r="J56" s="373">
        <f t="shared" si="28"/>
        <v>11992.899018836059</v>
      </c>
      <c r="K56" s="373">
        <f t="shared" si="28"/>
        <v>13119.750241432015</v>
      </c>
      <c r="L56" s="44"/>
      <c r="M56" s="44"/>
      <c r="N56" s="373">
        <f t="shared" si="29"/>
        <v>0</v>
      </c>
      <c r="O56" s="373">
        <f t="shared" si="29"/>
        <v>0</v>
      </c>
      <c r="P56" s="374">
        <f t="shared" si="5"/>
        <v>11992.899018836059</v>
      </c>
      <c r="Q56" s="377">
        <f t="shared" si="6"/>
        <v>13119.750241432015</v>
      </c>
      <c r="R56" s="374">
        <f t="shared" si="7"/>
        <v>1126.8512225959566</v>
      </c>
      <c r="S56" s="376">
        <v>0</v>
      </c>
      <c r="T56" s="376">
        <v>0</v>
      </c>
      <c r="U56" s="375">
        <v>0</v>
      </c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217">
        <f t="shared" si="13"/>
        <v>0</v>
      </c>
      <c r="AG56" s="330"/>
      <c r="AH56" s="318"/>
      <c r="AI56" s="217"/>
      <c r="AJ56" s="217"/>
      <c r="AK56" s="217"/>
      <c r="AL56" s="217"/>
      <c r="AM56" s="322"/>
      <c r="AN56" s="322"/>
      <c r="AO56" s="322"/>
      <c r="AP56" s="322"/>
      <c r="AQ56" s="139"/>
      <c r="AR56" s="139"/>
      <c r="AS56" s="328"/>
      <c r="AT56" s="148"/>
      <c r="AU56" s="44"/>
    </row>
    <row r="57" spans="1:47" ht="13.5" thickBot="1">
      <c r="A57" s="45"/>
      <c r="B57" s="332"/>
      <c r="C57" s="190"/>
      <c r="D57" s="44"/>
      <c r="E57" s="44"/>
      <c r="F57" s="44"/>
      <c r="G57" s="374"/>
      <c r="H57" s="44"/>
      <c r="I57" s="44"/>
      <c r="J57" s="373"/>
      <c r="K57" s="373"/>
      <c r="L57" s="44"/>
      <c r="M57" s="44"/>
      <c r="N57" s="373"/>
      <c r="O57" s="373"/>
      <c r="P57" s="374"/>
      <c r="Q57" s="377"/>
      <c r="R57" s="374"/>
      <c r="S57" s="376"/>
      <c r="T57" s="376"/>
      <c r="U57" s="375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375"/>
      <c r="AG57" s="330"/>
      <c r="AH57" s="318"/>
      <c r="AI57" s="217"/>
      <c r="AJ57" s="217"/>
      <c r="AK57" s="217"/>
      <c r="AL57" s="217"/>
      <c r="AM57" s="322"/>
      <c r="AN57" s="322"/>
      <c r="AO57" s="322"/>
      <c r="AP57" s="322"/>
      <c r="AQ57" s="139"/>
      <c r="AR57" s="139"/>
      <c r="AS57" s="328"/>
      <c r="AT57" s="148"/>
      <c r="AU57" s="44"/>
    </row>
    <row r="58" spans="1:47" ht="13.5" thickBot="1">
      <c r="A58" s="215" t="s">
        <v>113</v>
      </c>
      <c r="B58" s="215"/>
      <c r="C58" s="306">
        <f>SUM(C7:C56)</f>
        <v>3982716.6202961425</v>
      </c>
      <c r="D58" s="304" t="s">
        <v>89</v>
      </c>
      <c r="E58" s="304">
        <f>SUM(E7:E46)</f>
        <v>-119481.49860888426</v>
      </c>
      <c r="F58" s="304">
        <f>SUM(F7:F46)</f>
        <v>22650.084034754727</v>
      </c>
      <c r="G58" s="330">
        <f>SUM(G7:G56)</f>
        <v>3885885.2057220126</v>
      </c>
      <c r="H58" s="304">
        <f>SUM(H7:H46)</f>
        <v>1929513.5207334913</v>
      </c>
      <c r="I58" s="304">
        <f>SUM(I7:I46)</f>
        <v>2083939.7422718052</v>
      </c>
      <c r="J58" s="304">
        <f>SUM(J7:J46)</f>
        <v>479715.9607534419</v>
      </c>
      <c r="K58" s="304">
        <f>SUM(K7:K46)</f>
        <v>524790.0096572802</v>
      </c>
      <c r="L58" s="304">
        <f>SUM(L7:L31)</f>
        <v>170275.32525205484</v>
      </c>
      <c r="M58" s="304">
        <f>SUM(M7:M31)</f>
        <v>229755.61604918822</v>
      </c>
      <c r="N58" s="304">
        <f>SUM(N7:N46)</f>
        <v>0</v>
      </c>
      <c r="O58" s="305">
        <f>SUM(O7:O26)</f>
        <v>0</v>
      </c>
      <c r="P58" s="138">
        <f aca="true" t="shared" si="30" ref="P58:AQ58">SUM(P7:P46)</f>
        <v>2579504.806738991</v>
      </c>
      <c r="Q58" s="142">
        <f t="shared" si="30"/>
        <v>2838485.3679782716</v>
      </c>
      <c r="R58" s="138">
        <f t="shared" si="30"/>
        <v>258980.56123928312</v>
      </c>
      <c r="S58" s="346">
        <f t="shared" si="30"/>
        <v>41145.458147200006</v>
      </c>
      <c r="T58" s="255">
        <f t="shared" si="30"/>
        <v>1793128.6600000001</v>
      </c>
      <c r="U58" s="257">
        <f t="shared" si="30"/>
        <v>351453.21736000007</v>
      </c>
      <c r="V58" s="363"/>
      <c r="W58" s="258"/>
      <c r="X58" s="258">
        <f>SUM(X7:X46)</f>
        <v>1850157.617928521</v>
      </c>
      <c r="Y58" s="258"/>
      <c r="Z58" s="258"/>
      <c r="AA58" s="258">
        <f t="shared" si="30"/>
        <v>1070216.4706421606</v>
      </c>
      <c r="AB58" s="258">
        <f t="shared" si="30"/>
        <v>70498.38655817408</v>
      </c>
      <c r="AC58" s="258">
        <f t="shared" si="30"/>
        <v>70498.38655817408</v>
      </c>
      <c r="AD58" s="258">
        <f t="shared" si="30"/>
        <v>489384.5106801209</v>
      </c>
      <c r="AE58" s="257">
        <f t="shared" si="30"/>
        <v>17400</v>
      </c>
      <c r="AF58" s="257">
        <f t="shared" si="30"/>
        <v>5753882.707874351</v>
      </c>
      <c r="AG58" s="255">
        <f t="shared" si="30"/>
        <v>1867997.5021523389</v>
      </c>
      <c r="AH58" s="256">
        <f t="shared" si="30"/>
        <v>254353</v>
      </c>
      <c r="AI58" s="257">
        <f t="shared" si="30"/>
        <v>252831.14106000005</v>
      </c>
      <c r="AJ58" s="257">
        <f t="shared" si="30"/>
        <v>240354.18222183283</v>
      </c>
      <c r="AK58" s="257">
        <f t="shared" si="30"/>
        <v>249030.32845828822</v>
      </c>
      <c r="AL58" s="257">
        <f t="shared" si="30"/>
        <v>31000</v>
      </c>
      <c r="AM58" s="258">
        <f t="shared" si="30"/>
        <v>258980.56123928312</v>
      </c>
      <c r="AN58" s="258">
        <f t="shared" si="30"/>
        <v>384849.12</v>
      </c>
      <c r="AO58" s="258">
        <f t="shared" si="30"/>
        <v>384849.12</v>
      </c>
      <c r="AP58" s="258">
        <f t="shared" si="30"/>
        <v>0</v>
      </c>
      <c r="AQ58" s="258">
        <f t="shared" si="30"/>
        <v>1046195.030757572</v>
      </c>
      <c r="AR58" s="258">
        <f>SUM(AR7:AR46)</f>
        <v>145042.94966162284</v>
      </c>
      <c r="AS58" s="258">
        <f>AG58+AR58</f>
        <v>2013040.4518139616</v>
      </c>
      <c r="AT58" s="257">
        <f>AS58-AQ58</f>
        <v>966845.4210563896</v>
      </c>
      <c r="AU58" s="1"/>
    </row>
    <row r="59" spans="1:46" ht="13.5" thickBot="1">
      <c r="A59" s="58" t="s">
        <v>89</v>
      </c>
      <c r="B59" s="58"/>
      <c r="C59" s="58"/>
      <c r="D59" s="58"/>
      <c r="E59" s="58"/>
      <c r="F59" s="58"/>
      <c r="G59" s="98" t="s">
        <v>89</v>
      </c>
      <c r="H59" s="58"/>
      <c r="I59" s="58"/>
      <c r="J59" s="58"/>
      <c r="K59" s="58"/>
      <c r="L59" s="58"/>
      <c r="M59" s="58"/>
      <c r="N59" s="424" t="s">
        <v>134</v>
      </c>
      <c r="O59" s="425"/>
      <c r="P59" s="138">
        <f>P58-'Test de compensation'!D114</f>
        <v>1029504.8067389908</v>
      </c>
      <c r="Q59" s="138">
        <f>Q58-'Test de compensation'!D114</f>
        <v>1288485.3679782716</v>
      </c>
      <c r="R59" s="138">
        <f>Q59-P59</f>
        <v>258980.56123928074</v>
      </c>
      <c r="S59" s="98"/>
      <c r="T59" s="98"/>
      <c r="U59" s="98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308">
        <f>S58+T58+U58+X58+AA58+AB58+AC58+AD58+AE58</f>
        <v>5753882.70787435</v>
      </c>
      <c r="AG59" s="392">
        <f>AF59-G58</f>
        <v>1867997.5021523377</v>
      </c>
      <c r="AH59" s="179"/>
      <c r="AI59" s="179"/>
      <c r="AJ59" s="179"/>
      <c r="AK59" s="302"/>
      <c r="AL59" s="179"/>
      <c r="AM59" s="179"/>
      <c r="AN59" s="268"/>
      <c r="AO59" s="268"/>
      <c r="AP59" s="268"/>
      <c r="AQ59" s="323">
        <f>AQ58/N3*10%</f>
        <v>2615.4875768939305</v>
      </c>
      <c r="AR59" s="44" t="s">
        <v>89</v>
      </c>
      <c r="AS59" s="44" t="s">
        <v>89</v>
      </c>
      <c r="AT59" s="230" t="s">
        <v>89</v>
      </c>
    </row>
    <row r="60" spans="1:46" ht="13.5" thickBot="1">
      <c r="A60" s="58" t="s">
        <v>89</v>
      </c>
      <c r="B60" s="58"/>
      <c r="C60" s="58"/>
      <c r="D60" s="58"/>
      <c r="E60" s="58"/>
      <c r="F60" s="58"/>
      <c r="G60" s="426" t="s">
        <v>269</v>
      </c>
      <c r="H60" s="427"/>
      <c r="I60" s="343">
        <f>I58-H58</f>
        <v>154426.2215383139</v>
      </c>
      <c r="J60" s="343"/>
      <c r="K60" s="343">
        <f>K58-J58</f>
        <v>45074.048903838266</v>
      </c>
      <c r="L60" s="343"/>
      <c r="M60" s="343">
        <f>M58-L58</f>
        <v>59480.29079713338</v>
      </c>
      <c r="N60" s="343"/>
      <c r="O60" s="343">
        <f>O58-N58</f>
        <v>0</v>
      </c>
      <c r="P60" s="98"/>
      <c r="Q60" s="480" t="s">
        <v>89</v>
      </c>
      <c r="R60" s="58" t="s">
        <v>89</v>
      </c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44" t="s">
        <v>89</v>
      </c>
      <c r="AS60" s="476" t="s">
        <v>107</v>
      </c>
      <c r="AT60" s="477"/>
    </row>
    <row r="61" spans="1:46" ht="12.75">
      <c r="A61" s="58"/>
      <c r="B61" s="58"/>
      <c r="C61" s="58"/>
      <c r="D61" s="58"/>
      <c r="E61" s="58"/>
      <c r="F61" s="58"/>
      <c r="G61" s="454"/>
      <c r="H61" s="455"/>
      <c r="I61" s="58"/>
      <c r="J61" s="58"/>
      <c r="K61" s="58"/>
      <c r="L61" s="58"/>
      <c r="M61" s="58"/>
      <c r="N61" s="58"/>
      <c r="O61" s="58"/>
      <c r="P61" s="98"/>
      <c r="Q61" s="182"/>
      <c r="R61" s="58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44"/>
      <c r="AS61" s="478"/>
      <c r="AT61" s="479"/>
    </row>
    <row r="62" spans="1:46" ht="12.75">
      <c r="A62" s="58"/>
      <c r="B62" s="58"/>
      <c r="C62" s="58"/>
      <c r="D62" s="58"/>
      <c r="E62" s="58"/>
      <c r="F62" s="58"/>
      <c r="G62" s="454"/>
      <c r="H62" s="455"/>
      <c r="I62" s="58"/>
      <c r="J62" s="58"/>
      <c r="K62" s="58"/>
      <c r="L62" s="58"/>
      <c r="M62" s="58"/>
      <c r="N62" s="58"/>
      <c r="O62" s="58"/>
      <c r="P62" s="98"/>
      <c r="Q62" s="182"/>
      <c r="R62" s="58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44"/>
      <c r="AS62" s="478"/>
      <c r="AT62" s="479"/>
    </row>
    <row r="63" spans="1:46" ht="13.5" thickBot="1">
      <c r="A63" s="98" t="s">
        <v>415</v>
      </c>
      <c r="B63" s="58"/>
      <c r="C63" s="362" t="s">
        <v>416</v>
      </c>
      <c r="D63" s="343"/>
      <c r="E63" s="343"/>
      <c r="F63" s="343"/>
      <c r="G63" s="454"/>
      <c r="H63" s="474" t="s">
        <v>417</v>
      </c>
      <c r="I63" s="343"/>
      <c r="J63" s="343"/>
      <c r="K63" s="343"/>
      <c r="L63" s="343"/>
      <c r="M63" s="343"/>
      <c r="N63" s="343"/>
      <c r="O63" s="343"/>
      <c r="P63" s="362"/>
      <c r="Q63" s="475"/>
      <c r="R63" s="343"/>
      <c r="S63" s="452" t="s">
        <v>422</v>
      </c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174"/>
      <c r="AG63" s="174"/>
      <c r="AH63" s="452" t="s">
        <v>418</v>
      </c>
      <c r="AI63" s="261"/>
      <c r="AJ63" s="261"/>
      <c r="AK63" s="261"/>
      <c r="AL63" s="261"/>
      <c r="AM63" s="261"/>
      <c r="AN63" s="261"/>
      <c r="AO63" s="261"/>
      <c r="AP63" s="261"/>
      <c r="AQ63" s="44"/>
      <c r="AR63" s="452" t="s">
        <v>419</v>
      </c>
      <c r="AS63" s="482"/>
      <c r="AT63" s="384"/>
    </row>
    <row r="64" spans="1:46" ht="13.5" thickBot="1">
      <c r="A64" s="466" t="s">
        <v>107</v>
      </c>
      <c r="B64" s="466"/>
      <c r="C64" s="466" t="s">
        <v>107</v>
      </c>
      <c r="D64" s="466"/>
      <c r="E64" s="466"/>
      <c r="F64" s="466"/>
      <c r="G64" s="467"/>
      <c r="H64" s="473" t="s">
        <v>107</v>
      </c>
      <c r="I64" s="466"/>
      <c r="J64" s="466"/>
      <c r="K64" s="466"/>
      <c r="L64" s="466"/>
      <c r="M64" s="466"/>
      <c r="N64" s="466"/>
      <c r="O64" s="466"/>
      <c r="P64" s="468"/>
      <c r="Q64" s="468"/>
      <c r="R64" s="466"/>
      <c r="S64" s="469" t="s">
        <v>107</v>
      </c>
      <c r="T64" s="469"/>
      <c r="U64" s="469"/>
      <c r="V64" s="469"/>
      <c r="W64" s="469"/>
      <c r="X64" s="469"/>
      <c r="Y64" s="469"/>
      <c r="Z64" s="469"/>
      <c r="AA64" s="469"/>
      <c r="AB64" s="469"/>
      <c r="AC64" s="469"/>
      <c r="AD64" s="469"/>
      <c r="AE64" s="469"/>
      <c r="AF64" s="470"/>
      <c r="AG64" s="470"/>
      <c r="AH64" s="469" t="s">
        <v>107</v>
      </c>
      <c r="AI64" s="469"/>
      <c r="AJ64" s="469"/>
      <c r="AK64" s="469"/>
      <c r="AL64" s="469"/>
      <c r="AM64" s="469"/>
      <c r="AN64" s="469"/>
      <c r="AO64" s="469"/>
      <c r="AP64" s="469"/>
      <c r="AQ64" s="471"/>
      <c r="AR64" s="9" t="s">
        <v>107</v>
      </c>
      <c r="AS64" s="460"/>
      <c r="AT64" s="461"/>
    </row>
    <row r="65" spans="1:46" ht="42" thickBot="1">
      <c r="A65" s="458" t="s">
        <v>89</v>
      </c>
      <c r="B65" s="456"/>
      <c r="C65" s="301" t="s">
        <v>166</v>
      </c>
      <c r="D65" s="301" t="s">
        <v>317</v>
      </c>
      <c r="E65" s="301" t="s">
        <v>167</v>
      </c>
      <c r="F65" s="301" t="s">
        <v>217</v>
      </c>
      <c r="G65" s="472" t="s">
        <v>144</v>
      </c>
      <c r="H65" s="58" t="s">
        <v>420</v>
      </c>
      <c r="I65" s="58"/>
      <c r="J65" s="58"/>
      <c r="K65" s="58"/>
      <c r="L65" s="58"/>
      <c r="M65" s="58"/>
      <c r="N65" s="58"/>
      <c r="O65" s="58"/>
      <c r="P65" s="98"/>
      <c r="Q65" s="182"/>
      <c r="R65" s="315" t="s">
        <v>421</v>
      </c>
      <c r="S65" s="300" t="s">
        <v>423</v>
      </c>
      <c r="T65" s="286" t="s">
        <v>160</v>
      </c>
      <c r="U65" s="300" t="s">
        <v>320</v>
      </c>
      <c r="V65" s="300"/>
      <c r="W65" s="300"/>
      <c r="X65" s="300" t="s">
        <v>424</v>
      </c>
      <c r="Y65" s="300"/>
      <c r="Z65" s="300"/>
      <c r="AA65" s="481" t="s">
        <v>313</v>
      </c>
      <c r="AB65" s="481"/>
      <c r="AC65" s="481"/>
      <c r="AD65" s="300" t="s">
        <v>259</v>
      </c>
      <c r="AE65" s="300" t="s">
        <v>303</v>
      </c>
      <c r="AF65" s="360" t="s">
        <v>147</v>
      </c>
      <c r="AG65" s="361" t="s">
        <v>270</v>
      </c>
      <c r="AH65" s="300" t="s">
        <v>172</v>
      </c>
      <c r="AI65" s="300" t="s">
        <v>425</v>
      </c>
      <c r="AJ65" s="359" t="s">
        <v>32</v>
      </c>
      <c r="AK65" s="300" t="s">
        <v>55</v>
      </c>
      <c r="AL65" s="300" t="s">
        <v>262</v>
      </c>
      <c r="AM65" s="300" t="s">
        <v>178</v>
      </c>
      <c r="AN65" s="359" t="s">
        <v>33</v>
      </c>
      <c r="AO65" s="359" t="s">
        <v>34</v>
      </c>
      <c r="AP65" s="300" t="s">
        <v>328</v>
      </c>
      <c r="AQ65" s="312" t="s">
        <v>418</v>
      </c>
      <c r="AR65" s="313" t="s">
        <v>95</v>
      </c>
      <c r="AS65" s="313" t="s">
        <v>96</v>
      </c>
      <c r="AT65" s="314" t="s">
        <v>271</v>
      </c>
    </row>
    <row r="66" spans="1:46" ht="13.5" thickBot="1">
      <c r="A66" s="457" t="s">
        <v>89</v>
      </c>
      <c r="B66" s="457"/>
      <c r="C66" s="259">
        <f>NPV(D2,C7:C46)</f>
        <v>2766359.504424785</v>
      </c>
      <c r="D66" s="345">
        <f>D7</f>
        <v>0.03</v>
      </c>
      <c r="E66" s="259">
        <f>NPV(D2,E7:E46)</f>
        <v>-82990.78513274348</v>
      </c>
      <c r="F66" s="309">
        <f>NPV(D2,F7:F46)</f>
        <v>15732.546705998078</v>
      </c>
      <c r="G66" s="176">
        <f>NPV(D2,G7:G46)</f>
        <v>2699101.265998039</v>
      </c>
      <c r="H66" s="180">
        <f>NPV(D2,H7:H46)</f>
        <v>1391744.5978430135</v>
      </c>
      <c r="I66" s="180">
        <f>NPV(D2,I7:I46)</f>
        <v>1503131.1506097198</v>
      </c>
      <c r="J66" s="180">
        <f>NPV(D2,J7:J46)</f>
        <v>346015.76496021374</v>
      </c>
      <c r="K66" s="180">
        <f>NPV(D2,K7:K46)</f>
        <v>378527.36096135573</v>
      </c>
      <c r="L66" s="180">
        <f>NPV(D2,L7:L46)</f>
        <v>137779.07083698257</v>
      </c>
      <c r="M66" s="180">
        <f>NPV(D2,M7:M46)</f>
        <v>185907.82458924514</v>
      </c>
      <c r="N66" s="180">
        <f>NPV(D2,N7:N46)</f>
        <v>0</v>
      </c>
      <c r="O66" s="180">
        <f>O7+NPV(D2,O8:O46)</f>
        <v>0</v>
      </c>
      <c r="P66" s="303">
        <f>NPV(D2,P7:P46)</f>
        <v>1875539.4336402104</v>
      </c>
      <c r="Q66" s="303">
        <f>NPV(D2,Q7:Q46)</f>
        <v>2067566.3361603199</v>
      </c>
      <c r="R66" s="176">
        <f>NPV(D2,R7:R46)</f>
        <v>192026.90252011045</v>
      </c>
      <c r="S66" s="259">
        <f>S58</f>
        <v>41145.458147200006</v>
      </c>
      <c r="T66" s="310">
        <f>T58</f>
        <v>1793128.6600000001</v>
      </c>
      <c r="U66" s="259">
        <f>U58</f>
        <v>351453.21736000007</v>
      </c>
      <c r="V66" s="483"/>
      <c r="W66" s="483"/>
      <c r="X66" s="311">
        <f>NPV(D2,X7:X46)</f>
        <v>1445743.1126591638</v>
      </c>
      <c r="Y66" s="483"/>
      <c r="Z66" s="483"/>
      <c r="AA66" s="259">
        <f>NPV(D2,AA7:AA46)</f>
        <v>743362.8318584084</v>
      </c>
      <c r="AB66" s="311">
        <f>NPV(D2,AB7:AB46)</f>
        <v>48967.551622419</v>
      </c>
      <c r="AC66" s="311">
        <f>NPV(D2,AC7:AC46)</f>
        <v>48967.551622419</v>
      </c>
      <c r="AD66" s="311">
        <f>NPV(D2,AD7:AD46)</f>
        <v>339922.1238938059</v>
      </c>
      <c r="AE66" s="311">
        <f>NPV(D2,AE7:AE46)</f>
        <v>12550.498217427743</v>
      </c>
      <c r="AF66" s="178">
        <f>S66+T66+U66+X66+AA66+AB66+AC66+AD66+AE66</f>
        <v>4825241.005380844</v>
      </c>
      <c r="AG66" s="178">
        <f>AF66-G66</f>
        <v>2126139.739382805</v>
      </c>
      <c r="AH66" s="311">
        <f>AH58</f>
        <v>254353</v>
      </c>
      <c r="AI66" s="311">
        <f>AI58</f>
        <v>252831.14106000005</v>
      </c>
      <c r="AJ66" s="484">
        <f>NPV(D2,AJ7:AJ46)</f>
        <v>144466.90265486762</v>
      </c>
      <c r="AK66" s="311">
        <f>NPV(D2,AK7:AK46)</f>
        <v>195455.22123893836</v>
      </c>
      <c r="AL66" s="311">
        <f>AL58</f>
        <v>31000</v>
      </c>
      <c r="AM66" s="311">
        <f>NPV(D2,AM7:AM46)</f>
        <v>192026.90252011045</v>
      </c>
      <c r="AN66" s="484">
        <f>AN58</f>
        <v>384849.12</v>
      </c>
      <c r="AO66" s="484">
        <f>AO58</f>
        <v>384849.12</v>
      </c>
      <c r="AP66" s="311">
        <f>AP58</f>
        <v>0</v>
      </c>
      <c r="AQ66" s="176">
        <f>AH66+AI66+AK66+AL66+AM66+AP66</f>
        <v>925666.2648190489</v>
      </c>
      <c r="AR66" s="176">
        <f>NPV(D2,AR7:AR46)</f>
        <v>104618.46443555513</v>
      </c>
      <c r="AS66" s="176">
        <f>AG66+AR66</f>
        <v>2230758.20381836</v>
      </c>
      <c r="AT66" s="178">
        <f>AS66-AQ66</f>
        <v>1305091.938999311</v>
      </c>
    </row>
    <row r="67" spans="1:46" ht="13.5" thickBot="1">
      <c r="A67" s="464" t="s">
        <v>89</v>
      </c>
      <c r="B67" s="464"/>
      <c r="C67" s="465"/>
      <c r="D67" s="465"/>
      <c r="E67" s="463"/>
      <c r="F67" s="463"/>
      <c r="G67" s="333">
        <f>C66+E66+F66</f>
        <v>2699101.2659980394</v>
      </c>
      <c r="H67" s="181">
        <f>H66-'Test de compensation'!D107</f>
        <v>294544.5978430135</v>
      </c>
      <c r="I67" s="181">
        <f>I66-'Test de compensation'!D107</f>
        <v>405931.1506097198</v>
      </c>
      <c r="J67" s="180">
        <f>J66-'Test de compensation'!D108</f>
        <v>43215.76496021374</v>
      </c>
      <c r="K67" s="180">
        <f>K66-'Test de compensation'!D108</f>
        <v>75727.36096135573</v>
      </c>
      <c r="L67" s="180">
        <f>L66-'Test de compensation'!D109</f>
        <v>-12220.929163017427</v>
      </c>
      <c r="M67" s="180">
        <f>M66-'Test de compensation'!D109</f>
        <v>35907.82458924514</v>
      </c>
      <c r="N67" s="180">
        <f>N66-'Test de compensation'!D110</f>
        <v>0</v>
      </c>
      <c r="O67" s="180">
        <f>O66-'Test de compensation'!D110</f>
        <v>0</v>
      </c>
      <c r="P67" s="138">
        <f>P66-'Test de compensation'!D114</f>
        <v>325539.4336402104</v>
      </c>
      <c r="Q67" s="257">
        <f>Q66-'Test de compensation'!D114</f>
        <v>517566.33616031986</v>
      </c>
      <c r="R67" s="459" t="s">
        <v>89</v>
      </c>
      <c r="S67" s="459"/>
      <c r="T67" s="459"/>
      <c r="U67" s="459"/>
      <c r="V67" s="459"/>
      <c r="W67" s="459"/>
      <c r="X67" s="459" t="s">
        <v>89</v>
      </c>
      <c r="Y67" s="459"/>
      <c r="Z67" s="459"/>
      <c r="AA67" s="459"/>
      <c r="AB67" s="459"/>
      <c r="AC67" s="459"/>
      <c r="AD67" s="459"/>
      <c r="AE67" s="459"/>
      <c r="AF67" s="462" t="s">
        <v>89</v>
      </c>
      <c r="AG67" s="462" t="s">
        <v>89</v>
      </c>
      <c r="AH67" s="459"/>
      <c r="AI67" s="459"/>
      <c r="AJ67" s="459"/>
      <c r="AK67" s="459"/>
      <c r="AL67" s="459"/>
      <c r="AM67" s="459"/>
      <c r="AN67" s="459"/>
      <c r="AO67" s="459"/>
      <c r="AP67" s="459"/>
      <c r="AQ67" s="333" t="s">
        <v>89</v>
      </c>
      <c r="AR67" s="8"/>
      <c r="AS67" s="463" t="s">
        <v>89</v>
      </c>
      <c r="AT67" s="463" t="s">
        <v>89</v>
      </c>
    </row>
    <row r="68" spans="1:44" ht="12.75">
      <c r="A68" s="385" t="s">
        <v>89</v>
      </c>
      <c r="B68" s="385"/>
      <c r="C68" s="386"/>
      <c r="D68" s="386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98"/>
      <c r="Q68" s="182" t="s">
        <v>89</v>
      </c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R68" s="219"/>
    </row>
    <row r="69" spans="1:42" ht="12.75">
      <c r="A69" s="50" t="s">
        <v>89</v>
      </c>
      <c r="B69" s="50"/>
      <c r="C69" s="50"/>
      <c r="D69" s="50"/>
      <c r="E69" s="50"/>
      <c r="F69" s="50"/>
      <c r="G69" s="59" t="s">
        <v>89</v>
      </c>
      <c r="H69" s="50" t="s">
        <v>89</v>
      </c>
      <c r="I69" s="50"/>
      <c r="J69" s="50"/>
      <c r="K69" s="50"/>
      <c r="L69" s="50"/>
      <c r="M69" s="50"/>
      <c r="N69" s="50"/>
      <c r="O69" s="50"/>
      <c r="P69" s="182" t="s">
        <v>89</v>
      </c>
      <c r="Q69" s="182" t="s">
        <v>89</v>
      </c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</row>
    <row r="71" ht="12.75">
      <c r="AF71" s="277"/>
    </row>
    <row r="72" spans="9:32" ht="12.75">
      <c r="I72" s="277"/>
      <c r="AF72" s="277"/>
    </row>
  </sheetData>
  <sheetProtection/>
  <mergeCells count="21">
    <mergeCell ref="AS60:AT60"/>
    <mergeCell ref="AA65:AC65"/>
    <mergeCell ref="T5:U5"/>
    <mergeCell ref="AJ5:AK5"/>
    <mergeCell ref="AN5:AP5"/>
    <mergeCell ref="AH4:AQ4"/>
    <mergeCell ref="N59:O59"/>
    <mergeCell ref="G60:H60"/>
    <mergeCell ref="AA5:AC5"/>
    <mergeCell ref="J5:K5"/>
    <mergeCell ref="L5:M5"/>
    <mergeCell ref="N5:O5"/>
    <mergeCell ref="P5:R5"/>
    <mergeCell ref="A68:D68"/>
    <mergeCell ref="A67:D67"/>
    <mergeCell ref="C4:G4"/>
    <mergeCell ref="H5:I5"/>
    <mergeCell ref="H4:AG4"/>
    <mergeCell ref="D5:E5"/>
    <mergeCell ref="A4:B5"/>
    <mergeCell ref="V5:Z5"/>
  </mergeCells>
  <hyperlinks>
    <hyperlink ref="N1" r:id="rId1" display="Question"/>
    <hyperlink ref="G1" r:id="rId2" display="Question"/>
  </hyperlinks>
  <printOptions/>
  <pageMargins left="0.75" right="0.75" top="1" bottom="1" header="0.4921259845" footer="0.492125984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37">
      <selection activeCell="J15" sqref="J15"/>
    </sheetView>
  </sheetViews>
  <sheetFormatPr defaultColWidth="11.421875" defaultRowHeight="12.75"/>
  <cols>
    <col min="1" max="6" width="11.57421875" style="228" customWidth="1"/>
    <col min="7" max="7" width="11.57421875" style="1" customWidth="1"/>
    <col min="8" max="8" width="6.140625" style="0" customWidth="1"/>
  </cols>
  <sheetData>
    <row r="1" spans="1:7" s="2" customFormat="1" ht="12.75">
      <c r="A1" s="235" t="s">
        <v>4</v>
      </c>
      <c r="B1" s="235"/>
      <c r="C1" s="235"/>
      <c r="D1" s="235"/>
      <c r="E1" s="285"/>
      <c r="F1" s="235"/>
      <c r="G1" s="263" t="s">
        <v>93</v>
      </c>
    </row>
    <row r="2" spans="1:7" s="2" customFormat="1" ht="12.75">
      <c r="A2" s="235" t="s">
        <v>75</v>
      </c>
      <c r="B2" s="235"/>
      <c r="C2" s="235"/>
      <c r="D2" s="235"/>
      <c r="E2" s="285"/>
      <c r="F2" s="235"/>
      <c r="G2" s="263"/>
    </row>
    <row r="3" spans="1:7" s="2" customFormat="1" ht="12.75">
      <c r="A3" s="235"/>
      <c r="B3" s="235"/>
      <c r="C3" s="235"/>
      <c r="D3" s="235"/>
      <c r="E3" s="235"/>
      <c r="F3" s="235"/>
      <c r="G3" s="229"/>
    </row>
    <row r="4" s="1" customFormat="1" ht="9.75">
      <c r="A4" s="229" t="s">
        <v>192</v>
      </c>
    </row>
    <row r="5" s="1" customFormat="1" ht="9.75">
      <c r="A5" s="6" t="s">
        <v>20</v>
      </c>
    </row>
    <row r="6" s="1" customFormat="1" ht="9.75">
      <c r="A6" s="6"/>
    </row>
    <row r="7" s="1" customFormat="1" ht="9.75">
      <c r="A7" s="229" t="s">
        <v>265</v>
      </c>
    </row>
    <row r="9" spans="1:6" s="229" customFormat="1" ht="9.75">
      <c r="A9" s="229" t="s">
        <v>196</v>
      </c>
      <c r="E9" s="254" t="s">
        <v>142</v>
      </c>
      <c r="F9" s="229" t="s">
        <v>89</v>
      </c>
    </row>
    <row r="10" spans="1:5" s="229" customFormat="1" ht="9.75">
      <c r="A10" s="229" t="s">
        <v>263</v>
      </c>
      <c r="E10" s="262" t="s">
        <v>246</v>
      </c>
    </row>
    <row r="11" s="229" customFormat="1" ht="9.75"/>
    <row r="12" spans="1:8" s="236" customFormat="1" ht="12.75">
      <c r="A12" s="229" t="s">
        <v>66</v>
      </c>
      <c r="B12" s="6"/>
      <c r="C12" s="6"/>
      <c r="D12" s="6"/>
      <c r="E12" s="6"/>
      <c r="F12" s="6"/>
      <c r="G12" s="6"/>
      <c r="H12" s="6"/>
    </row>
    <row r="13" spans="1:8" s="236" customFormat="1" ht="13.5" thickBot="1">
      <c r="A13" s="6"/>
      <c r="B13" s="6"/>
      <c r="C13" s="6"/>
      <c r="D13" s="6"/>
      <c r="E13" s="6"/>
      <c r="F13" s="6"/>
      <c r="G13" s="6"/>
      <c r="H13" s="6"/>
    </row>
    <row r="14" spans="1:8" ht="13.5" thickBot="1">
      <c r="A14" s="6" t="s">
        <v>21</v>
      </c>
      <c r="B14" s="6"/>
      <c r="C14" s="6"/>
      <c r="D14" s="6"/>
      <c r="E14" s="6"/>
      <c r="F14" s="6"/>
      <c r="G14" s="284">
        <f>'Test de compensation'!G107</f>
        <v>40</v>
      </c>
      <c r="H14" s="114" t="s">
        <v>185</v>
      </c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8" s="2" customFormat="1" ht="12.75">
      <c r="A16" s="229" t="s">
        <v>5</v>
      </c>
      <c r="B16" s="229"/>
      <c r="C16" s="229"/>
      <c r="D16" s="229"/>
      <c r="E16" s="229"/>
      <c r="F16" s="229"/>
      <c r="G16" s="229"/>
      <c r="H16" s="229"/>
    </row>
    <row r="17" spans="1:8" ht="12.75">
      <c r="A17" s="6"/>
      <c r="B17" s="6" t="s">
        <v>266</v>
      </c>
      <c r="C17" s="6"/>
      <c r="D17" s="6"/>
      <c r="E17" s="6"/>
      <c r="F17" s="6"/>
      <c r="G17" s="230">
        <f>'Test de compensation'!D105</f>
        <v>87308.97</v>
      </c>
      <c r="H17" s="232">
        <f>G17/G20</f>
        <v>0.04615463617952842</v>
      </c>
    </row>
    <row r="18" spans="1:8" ht="12.75">
      <c r="A18" s="6"/>
      <c r="B18" s="6" t="s">
        <v>268</v>
      </c>
      <c r="C18" s="6"/>
      <c r="D18" s="6"/>
      <c r="E18" s="6"/>
      <c r="F18" s="6"/>
      <c r="G18" s="230">
        <f>'Test de compensation'!D114</f>
        <v>1550000</v>
      </c>
      <c r="H18" s="232">
        <f>G18/G20</f>
        <v>0.8193852942975853</v>
      </c>
    </row>
    <row r="19" spans="1:13" ht="13.5" thickBot="1">
      <c r="A19" s="6"/>
      <c r="B19" s="6" t="s">
        <v>267</v>
      </c>
      <c r="C19" s="6"/>
      <c r="D19" s="6"/>
      <c r="E19" s="6"/>
      <c r="F19" s="6"/>
      <c r="G19" s="234">
        <f>'Test de compensation'!D104</f>
        <v>254353</v>
      </c>
      <c r="H19" s="232">
        <f>G19/G20</f>
        <v>0.13446006952288628</v>
      </c>
      <c r="J19" t="s">
        <v>89</v>
      </c>
      <c r="K19" t="s">
        <v>89</v>
      </c>
      <c r="L19" t="s">
        <v>89</v>
      </c>
      <c r="M19" t="s">
        <v>89</v>
      </c>
    </row>
    <row r="20" spans="1:13" ht="13.5" thickBot="1">
      <c r="A20" s="6"/>
      <c r="B20" s="6" t="s">
        <v>62</v>
      </c>
      <c r="C20" s="6"/>
      <c r="D20" s="6"/>
      <c r="E20" s="6"/>
      <c r="F20" s="6"/>
      <c r="G20" s="138">
        <f>SUM(G17:G19)</f>
        <v>1891661.97</v>
      </c>
      <c r="H20" s="232">
        <f>SUM(H17:H19)</f>
        <v>1</v>
      </c>
      <c r="J20" t="s">
        <v>89</v>
      </c>
      <c r="K20" t="s">
        <v>89</v>
      </c>
      <c r="L20" t="s">
        <v>89</v>
      </c>
      <c r="M20" t="s">
        <v>89</v>
      </c>
    </row>
    <row r="21" spans="1:12" ht="12.75">
      <c r="A21" s="229" t="s">
        <v>197</v>
      </c>
      <c r="B21" s="229"/>
      <c r="C21" s="6"/>
      <c r="D21" s="6"/>
      <c r="E21" s="6"/>
      <c r="F21" s="6"/>
      <c r="G21" s="48"/>
      <c r="H21" s="232"/>
      <c r="L21" t="s">
        <v>89</v>
      </c>
    </row>
    <row r="22" spans="1:8" ht="12.75">
      <c r="A22" s="6"/>
      <c r="B22" s="6" t="s">
        <v>353</v>
      </c>
      <c r="C22" s="6"/>
      <c r="D22" s="6"/>
      <c r="E22" s="6"/>
      <c r="F22" s="6"/>
      <c r="G22" s="230">
        <f>G20*0.000012</f>
        <v>22.69994364</v>
      </c>
      <c r="H22" s="232"/>
    </row>
    <row r="23" spans="1:8" ht="12.75">
      <c r="A23" s="6"/>
      <c r="B23" s="6" t="s">
        <v>22</v>
      </c>
      <c r="C23" s="6"/>
      <c r="D23" s="6"/>
      <c r="E23" s="6"/>
      <c r="F23" s="6"/>
      <c r="G23" s="230">
        <f>'Test de compensation'!D73</f>
        <v>98622.07630000007</v>
      </c>
      <c r="H23" s="6"/>
    </row>
    <row r="24" spans="1:8" ht="12.75">
      <c r="A24" s="6"/>
      <c r="B24" s="6" t="s">
        <v>354</v>
      </c>
      <c r="C24" s="6"/>
      <c r="D24" s="6"/>
      <c r="E24" s="6"/>
      <c r="F24" s="6"/>
      <c r="G24" s="230">
        <f>'Calculs détaillés'!AJ66</f>
        <v>144466.90265486762</v>
      </c>
      <c r="H24" s="6"/>
    </row>
    <row r="25" spans="1:8" ht="12.75">
      <c r="A25" s="6"/>
      <c r="B25" s="6" t="s">
        <v>362</v>
      </c>
      <c r="C25" s="6"/>
      <c r="D25" s="6"/>
      <c r="E25" s="6"/>
      <c r="F25" s="6"/>
      <c r="G25" s="48">
        <f>SUM(G23:G24)</f>
        <v>243088.9789548677</v>
      </c>
      <c r="H25" s="6"/>
    </row>
    <row r="26" spans="1:8" ht="13.5" thickBot="1">
      <c r="A26" s="6"/>
      <c r="B26" s="6"/>
      <c r="C26" s="6"/>
      <c r="D26" s="6"/>
      <c r="E26" s="6"/>
      <c r="F26" s="6"/>
      <c r="G26" s="230"/>
      <c r="H26" s="6"/>
    </row>
    <row r="27" spans="1:8" s="2" customFormat="1" ht="13.5" thickBot="1">
      <c r="A27" s="229" t="s">
        <v>81</v>
      </c>
      <c r="B27" s="229"/>
      <c r="C27" s="229"/>
      <c r="D27" s="229"/>
      <c r="E27" s="229"/>
      <c r="F27" s="229"/>
      <c r="G27" s="138">
        <f>G38-G43</f>
        <v>2126139.739382805</v>
      </c>
      <c r="H27" s="229"/>
    </row>
    <row r="28" spans="1:8" s="2" customFormat="1" ht="12.75">
      <c r="A28" s="229" t="s">
        <v>6</v>
      </c>
      <c r="B28" s="229"/>
      <c r="C28" s="229"/>
      <c r="D28" s="229"/>
      <c r="E28" s="229"/>
      <c r="F28" s="229"/>
      <c r="G28" s="229"/>
      <c r="H28" s="229"/>
    </row>
    <row r="29" spans="1:8" ht="12.75">
      <c r="A29" s="6"/>
      <c r="B29" s="6" t="s">
        <v>23</v>
      </c>
      <c r="C29" s="6"/>
      <c r="D29" s="6"/>
      <c r="E29" s="6"/>
      <c r="F29" s="6"/>
      <c r="G29" s="230">
        <f>'Test de compensation'!D140</f>
        <v>1793128.6600000001</v>
      </c>
      <c r="H29" s="232">
        <f>G29/G38</f>
        <v>0.37161432102570663</v>
      </c>
    </row>
    <row r="30" spans="1:8" ht="12.75">
      <c r="A30" s="6"/>
      <c r="B30" s="6" t="s">
        <v>15</v>
      </c>
      <c r="C30" s="6"/>
      <c r="D30" s="6"/>
      <c r="E30" s="6"/>
      <c r="F30" s="6"/>
      <c r="G30" s="230">
        <f>'Test de compensation'!D141</f>
        <v>351453.21736000007</v>
      </c>
      <c r="H30" s="232">
        <f>G30/G38</f>
        <v>0.0728364069210385</v>
      </c>
    </row>
    <row r="31" spans="1:8" ht="12.75">
      <c r="A31" s="6"/>
      <c r="B31" s="6" t="s">
        <v>355</v>
      </c>
      <c r="C31" s="6"/>
      <c r="D31" s="6"/>
      <c r="E31" s="6"/>
      <c r="F31" s="6"/>
      <c r="G31" s="230">
        <f>'Test de compensation'!D142</f>
        <v>1445743.1126591638</v>
      </c>
      <c r="H31" s="232">
        <f>G31/G38</f>
        <v>0.2996209124159706</v>
      </c>
    </row>
    <row r="32" spans="1:8" ht="12.75">
      <c r="A32" s="6"/>
      <c r="B32" s="6" t="s">
        <v>16</v>
      </c>
      <c r="C32" s="6"/>
      <c r="D32" s="6"/>
      <c r="E32" s="6"/>
      <c r="F32" s="6"/>
      <c r="G32" s="234">
        <f>'Test de compensation'!D143</f>
        <v>41145.458147200006</v>
      </c>
      <c r="H32" s="232">
        <f>G32/G38</f>
        <v>0.00852713016848627</v>
      </c>
    </row>
    <row r="33" spans="1:8" ht="12.75">
      <c r="A33" s="6"/>
      <c r="B33" s="6" t="s">
        <v>63</v>
      </c>
      <c r="C33" s="6"/>
      <c r="D33" s="6"/>
      <c r="E33" s="6"/>
      <c r="F33" s="6"/>
      <c r="G33" s="234">
        <f>'Test de compensation'!D144</f>
        <v>743362.8318584084</v>
      </c>
      <c r="H33" s="232">
        <f>G33/G38</f>
        <v>0.154057140571725</v>
      </c>
    </row>
    <row r="34" spans="1:8" ht="12.75">
      <c r="A34" s="6"/>
      <c r="B34" s="6" t="s">
        <v>64</v>
      </c>
      <c r="C34" s="6"/>
      <c r="D34" s="6"/>
      <c r="E34" s="6"/>
      <c r="F34" s="6"/>
      <c r="G34" s="234">
        <f>'Test de compensation'!D145</f>
        <v>48967.551622419</v>
      </c>
      <c r="H34" s="232">
        <f>G34/G38</f>
        <v>0.010148208466232687</v>
      </c>
    </row>
    <row r="35" spans="1:8" ht="12.75">
      <c r="A35" s="6"/>
      <c r="B35" s="6" t="s">
        <v>65</v>
      </c>
      <c r="C35" s="6"/>
      <c r="D35" s="6"/>
      <c r="E35" s="6"/>
      <c r="F35" s="6"/>
      <c r="G35" s="234">
        <f>'Test de compensation'!D146</f>
        <v>48967.551622419</v>
      </c>
      <c r="H35" s="232">
        <f>G35/G38</f>
        <v>0.010148208466232687</v>
      </c>
    </row>
    <row r="36" spans="1:8" ht="12.75">
      <c r="A36" s="6"/>
      <c r="B36" s="6" t="s">
        <v>14</v>
      </c>
      <c r="C36" s="6"/>
      <c r="D36" s="6"/>
      <c r="E36" s="6"/>
      <c r="F36" s="6"/>
      <c r="G36" s="234">
        <f>'Test de compensation'!D147</f>
        <v>339922.1238938059</v>
      </c>
      <c r="H36" s="232">
        <f>G36/G38</f>
        <v>0.07044666235629338</v>
      </c>
    </row>
    <row r="37" spans="1:8" ht="13.5" thickBot="1">
      <c r="A37" s="6"/>
      <c r="B37" s="6" t="s">
        <v>17</v>
      </c>
      <c r="C37" s="6"/>
      <c r="D37" s="6"/>
      <c r="E37" s="6"/>
      <c r="F37" s="6"/>
      <c r="G37" s="234">
        <f>'Test de compensation'!D148</f>
        <v>12550.498217427743</v>
      </c>
      <c r="H37" s="232">
        <f>G37/G38</f>
        <v>0.002601009608314303</v>
      </c>
    </row>
    <row r="38" spans="1:8" ht="13.5" thickBot="1">
      <c r="A38" s="6"/>
      <c r="B38" s="229" t="s">
        <v>147</v>
      </c>
      <c r="C38" s="6"/>
      <c r="D38" s="6"/>
      <c r="E38" s="6"/>
      <c r="F38" s="6"/>
      <c r="G38" s="138">
        <f>SUM(G29:G37)</f>
        <v>4825241.005380844</v>
      </c>
      <c r="H38" s="232">
        <f>SUM(H29:H37)</f>
        <v>1</v>
      </c>
    </row>
    <row r="39" spans="1:8" s="2" customFormat="1" ht="12.75">
      <c r="A39" s="229" t="s">
        <v>9</v>
      </c>
      <c r="B39" s="229"/>
      <c r="C39" s="229"/>
      <c r="D39" s="229"/>
      <c r="E39" s="229"/>
      <c r="F39" s="229"/>
      <c r="G39" s="229"/>
      <c r="H39" s="233"/>
    </row>
    <row r="40" spans="1:8" ht="12.75">
      <c r="A40" s="6"/>
      <c r="B40" s="6" t="s">
        <v>24</v>
      </c>
      <c r="C40" s="6"/>
      <c r="D40" s="6"/>
      <c r="E40" s="6"/>
      <c r="F40" s="6"/>
      <c r="G40" s="230">
        <f>'Test de compensation'!C151</f>
        <v>2766359.504424785</v>
      </c>
      <c r="H40" s="232">
        <f>G40/G43</f>
        <v>1.0249187532435453</v>
      </c>
    </row>
    <row r="41" spans="1:8" ht="12.75">
      <c r="A41" s="6"/>
      <c r="B41" s="6" t="s">
        <v>25</v>
      </c>
      <c r="C41" s="6"/>
      <c r="D41" s="6"/>
      <c r="E41" s="6"/>
      <c r="F41" s="6"/>
      <c r="G41" s="230">
        <f>'Test de compensation'!C152</f>
        <v>15732.546705998078</v>
      </c>
      <c r="H41" s="232">
        <f>G41/G43</f>
        <v>0.005828809353761204</v>
      </c>
    </row>
    <row r="42" spans="1:8" ht="13.5" thickBot="1">
      <c r="A42" s="6"/>
      <c r="B42" s="6" t="s">
        <v>26</v>
      </c>
      <c r="C42" s="6"/>
      <c r="D42" s="6"/>
      <c r="E42" s="6"/>
      <c r="F42" s="6"/>
      <c r="G42" s="230">
        <f>'Test de compensation'!C153</f>
        <v>-82990.78513274353</v>
      </c>
      <c r="H42" s="232">
        <f>G42/G43</f>
        <v>-0.030747562597306356</v>
      </c>
    </row>
    <row r="43" spans="1:8" ht="13.5" thickBot="1">
      <c r="A43" s="6"/>
      <c r="B43" s="6" t="s">
        <v>18</v>
      </c>
      <c r="C43" s="6"/>
      <c r="D43" s="6"/>
      <c r="E43" s="6"/>
      <c r="F43" s="6"/>
      <c r="G43" s="138">
        <f>'Calculs détaillés'!G66</f>
        <v>2699101.265998039</v>
      </c>
      <c r="H43" s="232">
        <f>SUM(H40:H42)</f>
        <v>1.0000000000000002</v>
      </c>
    </row>
    <row r="44" spans="1:8" s="2" customFormat="1" ht="13.5" thickBot="1">
      <c r="A44" s="229" t="s">
        <v>273</v>
      </c>
      <c r="B44" s="229"/>
      <c r="C44" s="229"/>
      <c r="D44" s="229"/>
      <c r="E44" s="229"/>
      <c r="F44" s="229"/>
      <c r="G44" s="229"/>
      <c r="H44" s="233"/>
    </row>
    <row r="45" spans="1:8" ht="13.5" thickBot="1">
      <c r="A45" s="6"/>
      <c r="B45" s="6" t="s">
        <v>193</v>
      </c>
      <c r="C45" s="6"/>
      <c r="D45" s="6"/>
      <c r="E45" s="6"/>
      <c r="F45" s="6"/>
      <c r="G45" s="138">
        <f>'Calculs détaillés'!AR66</f>
        <v>104618.46443555513</v>
      </c>
      <c r="H45" s="232"/>
    </row>
    <row r="46" spans="1:8" ht="12.75">
      <c r="A46" s="6"/>
      <c r="B46" s="218" t="s">
        <v>67</v>
      </c>
      <c r="C46" s="6"/>
      <c r="D46" s="6"/>
      <c r="E46" s="6"/>
      <c r="F46" s="6"/>
      <c r="G46" s="48"/>
      <c r="H46" s="232"/>
    </row>
    <row r="47" spans="1:8" s="2" customFormat="1" ht="12.75">
      <c r="A47" s="229" t="s">
        <v>279</v>
      </c>
      <c r="B47" s="229"/>
      <c r="C47" s="229"/>
      <c r="D47" s="229"/>
      <c r="E47" s="229"/>
      <c r="F47" s="229"/>
      <c r="G47" s="229"/>
      <c r="H47" s="233"/>
    </row>
    <row r="48" spans="1:8" s="2" customFormat="1" ht="12.75">
      <c r="A48" s="229"/>
      <c r="B48" s="6" t="s">
        <v>19</v>
      </c>
      <c r="C48" s="229"/>
      <c r="D48" s="229"/>
      <c r="E48" s="229"/>
      <c r="F48" s="229"/>
      <c r="G48" s="230">
        <f>'Test de compensation'!D97</f>
        <v>75000</v>
      </c>
      <c r="H48" s="232">
        <f>G48/G55</f>
        <v>0.08102272152551779</v>
      </c>
    </row>
    <row r="49" spans="1:8" ht="12.75">
      <c r="A49" s="6"/>
      <c r="B49" s="6" t="s">
        <v>356</v>
      </c>
      <c r="C49" s="6"/>
      <c r="D49" s="6"/>
      <c r="E49" s="6"/>
      <c r="F49" s="6"/>
      <c r="G49" s="230">
        <f>'Test de compensation'!D104-'Test de compensation'!D97</f>
        <v>179353</v>
      </c>
      <c r="H49" s="232">
        <f>G49/G55</f>
        <v>0.19375557565021587</v>
      </c>
    </row>
    <row r="50" spans="1:8" ht="12.75">
      <c r="A50" s="6"/>
      <c r="B50" s="6" t="s">
        <v>10</v>
      </c>
      <c r="C50" s="6"/>
      <c r="D50" s="6"/>
      <c r="E50" s="6"/>
      <c r="F50" s="6"/>
      <c r="G50" s="230">
        <f>'Test de compensation'!C162</f>
        <v>195455.22123893836</v>
      </c>
      <c r="H50" s="232">
        <f>G50/G55</f>
        <v>0.2111508528153463</v>
      </c>
    </row>
    <row r="51" spans="1:8" ht="12.75">
      <c r="A51" s="6"/>
      <c r="B51" s="6" t="s">
        <v>27</v>
      </c>
      <c r="C51" s="6"/>
      <c r="D51" s="6"/>
      <c r="E51" s="6"/>
      <c r="F51" s="6"/>
      <c r="G51" s="230">
        <f>'Test de compensation'!C164</f>
        <v>192026.90252011045</v>
      </c>
      <c r="H51" s="232">
        <f>G51/G55</f>
        <v>0.20744722997726212</v>
      </c>
    </row>
    <row r="52" spans="1:8" ht="12.75">
      <c r="A52" s="6"/>
      <c r="B52" s="6" t="s">
        <v>28</v>
      </c>
      <c r="C52" s="6"/>
      <c r="D52" s="6"/>
      <c r="E52" s="6"/>
      <c r="F52" s="6"/>
      <c r="G52" s="230">
        <f>'Test de compensation'!C163</f>
        <v>252831.14106000005</v>
      </c>
      <c r="H52" s="232">
        <f>G52/G55</f>
        <v>0.2731342284677772</v>
      </c>
    </row>
    <row r="53" spans="1:8" ht="12.75">
      <c r="A53" s="6"/>
      <c r="B53" s="6" t="s">
        <v>29</v>
      </c>
      <c r="C53" s="6"/>
      <c r="D53" s="6"/>
      <c r="E53" s="6"/>
      <c r="F53" s="6"/>
      <c r="G53" s="234">
        <f>'Test de compensation'!C165</f>
        <v>31000</v>
      </c>
      <c r="H53" s="232">
        <f>G53/G55</f>
        <v>0.033489391563880685</v>
      </c>
    </row>
    <row r="54" spans="1:8" ht="13.5" thickBot="1">
      <c r="A54" s="6"/>
      <c r="B54" s="6" t="s">
        <v>343</v>
      </c>
      <c r="C54" s="6"/>
      <c r="D54" s="6"/>
      <c r="E54" s="6"/>
      <c r="F54" s="6"/>
      <c r="G54" s="234">
        <f>'Test de compensation'!C166</f>
        <v>0</v>
      </c>
      <c r="H54" s="232">
        <f>G54/G55</f>
        <v>0</v>
      </c>
    </row>
    <row r="55" spans="1:8" ht="13.5" thickBot="1">
      <c r="A55" s="6" t="s">
        <v>89</v>
      </c>
      <c r="B55" s="229" t="s">
        <v>91</v>
      </c>
      <c r="C55" s="6"/>
      <c r="D55" s="6"/>
      <c r="E55" s="6"/>
      <c r="F55" s="6"/>
      <c r="G55" s="138">
        <f>SUM(G48:G53)</f>
        <v>925666.2648190489</v>
      </c>
      <c r="H55" s="289">
        <f>SUM(H48:H53)</f>
        <v>0.9999999999999999</v>
      </c>
    </row>
    <row r="56" spans="1:8" s="2" customFormat="1" ht="13.5" thickBot="1">
      <c r="A56" s="229" t="s">
        <v>194</v>
      </c>
      <c r="B56" s="229"/>
      <c r="C56" s="229"/>
      <c r="D56" s="229"/>
      <c r="E56" s="229"/>
      <c r="F56" s="229"/>
      <c r="G56" s="48"/>
      <c r="H56" s="237"/>
    </row>
    <row r="57" spans="1:6" ht="12.75">
      <c r="A57" s="6" t="s">
        <v>252</v>
      </c>
      <c r="B57" s="6"/>
      <c r="C57" s="357">
        <f>'Test de compensation'!C167</f>
        <v>925666.2648190489</v>
      </c>
      <c r="D57" s="354"/>
      <c r="E57" s="6"/>
      <c r="F57" s="6"/>
    </row>
    <row r="58" spans="1:6" ht="12.75">
      <c r="A58" s="6" t="s">
        <v>165</v>
      </c>
      <c r="B58" s="6"/>
      <c r="C58" s="217" t="s">
        <v>89</v>
      </c>
      <c r="D58" s="318">
        <f>G27</f>
        <v>2126139.739382805</v>
      </c>
      <c r="E58" s="6"/>
      <c r="F58" s="6"/>
    </row>
    <row r="59" spans="1:6" ht="13.5" thickBot="1">
      <c r="A59" s="6" t="s">
        <v>95</v>
      </c>
      <c r="B59" s="6"/>
      <c r="C59" s="217" t="s">
        <v>89</v>
      </c>
      <c r="D59" s="349">
        <f>G45</f>
        <v>104618.46443555513</v>
      </c>
      <c r="E59" s="6"/>
      <c r="F59" s="6"/>
    </row>
    <row r="60" spans="1:6" ht="13.5" thickBot="1">
      <c r="A60" s="6" t="s">
        <v>96</v>
      </c>
      <c r="B60" s="6"/>
      <c r="C60" s="349" t="s">
        <v>89</v>
      </c>
      <c r="D60" s="356">
        <f>SUM(D58:D59)</f>
        <v>2230758.20381836</v>
      </c>
      <c r="E60" s="6"/>
      <c r="F60" s="6"/>
    </row>
    <row r="61" spans="1:6" ht="13.5" thickBot="1">
      <c r="A61" s="229" t="s">
        <v>188</v>
      </c>
      <c r="B61" s="229"/>
      <c r="C61" s="330">
        <f>D60-C57</f>
        <v>1305091.938999311</v>
      </c>
      <c r="D61" s="6"/>
      <c r="E61" s="6" t="s">
        <v>208</v>
      </c>
      <c r="F61" s="6"/>
    </row>
    <row r="62" spans="1:6" ht="13.5" thickBot="1">
      <c r="A62" s="229"/>
      <c r="B62" s="229"/>
      <c r="C62" s="98"/>
      <c r="D62" s="6"/>
      <c r="E62" s="6" t="s">
        <v>209</v>
      </c>
      <c r="F62" s="6"/>
    </row>
    <row r="63" spans="1:6" ht="13.5" thickBot="1">
      <c r="A63" s="6" t="s">
        <v>190</v>
      </c>
      <c r="B63" s="6"/>
      <c r="C63" s="241">
        <f>'Test de compensation'!D172</f>
        <v>0.41495589402499927</v>
      </c>
      <c r="D63" s="6"/>
      <c r="E63" s="6" t="s">
        <v>89</v>
      </c>
      <c r="F63" s="6"/>
    </row>
    <row r="64" spans="1:6" ht="12.75">
      <c r="A64" s="6" t="s">
        <v>187</v>
      </c>
      <c r="B64" s="6"/>
      <c r="C64" s="231">
        <f>'Test de compensation'!D173</f>
        <v>0.033620855846959785</v>
      </c>
      <c r="D64" s="6" t="s">
        <v>253</v>
      </c>
      <c r="E64" s="6"/>
      <c r="F64" s="6"/>
    </row>
    <row r="65" spans="1:6" ht="13.5" thickBot="1">
      <c r="A65" s="6" t="s">
        <v>195</v>
      </c>
      <c r="B65" s="6"/>
      <c r="C65" s="231">
        <f>'Test de compensation'!D97/'Notice explicative'!C57</f>
        <v>0.08102272152551779</v>
      </c>
      <c r="D65" s="6" t="s">
        <v>254</v>
      </c>
      <c r="E65" s="6"/>
      <c r="F65" s="6"/>
    </row>
    <row r="66" spans="1:6" ht="13.5" thickBot="1">
      <c r="A66" s="6" t="s">
        <v>264</v>
      </c>
      <c r="B66" s="6"/>
      <c r="C66" s="231"/>
      <c r="D66" s="138">
        <f>'Calculs détaillés'!AQ59</f>
        <v>2615.4875768939305</v>
      </c>
      <c r="E66" s="6"/>
      <c r="F66" s="6"/>
    </row>
    <row r="67" spans="1:6" ht="12.75">
      <c r="A67" s="6"/>
      <c r="B67" s="6"/>
      <c r="C67" s="231"/>
      <c r="D67" s="6"/>
      <c r="E67" s="6"/>
      <c r="F67" s="6"/>
    </row>
    <row r="68" spans="1:6" ht="12.75">
      <c r="A68" s="229" t="s">
        <v>35</v>
      </c>
      <c r="B68" s="6"/>
      <c r="C68" s="231"/>
      <c r="D68" s="6"/>
      <c r="E68" s="6"/>
      <c r="F68" s="6"/>
    </row>
    <row r="69" spans="1:6" ht="12.75">
      <c r="A69" s="6" t="s">
        <v>247</v>
      </c>
      <c r="B69" s="6"/>
      <c r="C69" s="231"/>
      <c r="D69" s="6"/>
      <c r="E69" s="6">
        <f>G14</f>
        <v>40</v>
      </c>
      <c r="F69" s="6" t="s">
        <v>185</v>
      </c>
    </row>
    <row r="70" spans="1:6" ht="12.75">
      <c r="A70" s="6" t="s">
        <v>36</v>
      </c>
      <c r="B70" s="6"/>
      <c r="C70" s="231"/>
      <c r="D70" s="6"/>
      <c r="E70" s="6"/>
      <c r="F70" s="6"/>
    </row>
    <row r="71" spans="1:6" ht="12.75">
      <c r="A71" s="6" t="s">
        <v>280</v>
      </c>
      <c r="B71" s="6"/>
      <c r="C71" s="231"/>
      <c r="D71" s="6"/>
      <c r="E71" s="6"/>
      <c r="F71" s="6"/>
    </row>
    <row r="72" spans="1:6" ht="12.75">
      <c r="A72" s="6" t="s">
        <v>249</v>
      </c>
      <c r="B72" s="6"/>
      <c r="C72" s="231"/>
      <c r="D72" s="6"/>
      <c r="E72" s="6"/>
      <c r="F72" s="6"/>
    </row>
    <row r="73" spans="1:6" ht="12.75">
      <c r="A73" s="6" t="s">
        <v>344</v>
      </c>
      <c r="B73" s="6"/>
      <c r="C73" s="231"/>
      <c r="D73" s="6"/>
      <c r="E73" s="6"/>
      <c r="F73" s="6"/>
    </row>
    <row r="74" spans="1:6" ht="12.75">
      <c r="A74" s="6" t="s">
        <v>345</v>
      </c>
      <c r="B74" s="6"/>
      <c r="C74" s="231"/>
      <c r="D74" s="6"/>
      <c r="E74" s="6"/>
      <c r="F74" s="6"/>
    </row>
    <row r="75" spans="1:6" ht="12.75">
      <c r="A75" s="6" t="s">
        <v>37</v>
      </c>
      <c r="B75" s="6"/>
      <c r="C75" s="231"/>
      <c r="D75" s="6"/>
      <c r="E75" s="6"/>
      <c r="F75" s="6"/>
    </row>
    <row r="76" spans="1:6" ht="12.75">
      <c r="A76" s="6" t="s">
        <v>330</v>
      </c>
      <c r="B76" s="6"/>
      <c r="C76" s="231"/>
      <c r="D76" s="6"/>
      <c r="E76" s="6"/>
      <c r="F76" s="6"/>
    </row>
    <row r="77" spans="1:6" ht="12.75">
      <c r="A77" s="6" t="s">
        <v>41</v>
      </c>
      <c r="B77" s="6"/>
      <c r="C77" s="231"/>
      <c r="D77" s="6"/>
      <c r="E77" s="6"/>
      <c r="F77" s="6"/>
    </row>
    <row r="78" spans="1:6" ht="12.75">
      <c r="A78" s="6" t="s">
        <v>42</v>
      </c>
      <c r="B78" s="6"/>
      <c r="C78" s="231"/>
      <c r="D78" s="6"/>
      <c r="E78" s="6"/>
      <c r="F78" s="6"/>
    </row>
    <row r="79" spans="1:6" ht="12.75">
      <c r="A79" s="6" t="s">
        <v>11</v>
      </c>
      <c r="B79" s="6"/>
      <c r="C79" s="231"/>
      <c r="D79" s="6"/>
      <c r="E79" s="6"/>
      <c r="F79" s="6"/>
    </row>
    <row r="80" spans="1:6" ht="12.75">
      <c r="A80" s="6" t="s">
        <v>72</v>
      </c>
      <c r="B80" s="6"/>
      <c r="C80" s="231"/>
      <c r="D80" s="6"/>
      <c r="E80" s="6"/>
      <c r="F80" s="6"/>
    </row>
    <row r="81" spans="1:6" ht="12.75">
      <c r="A81" s="6" t="s">
        <v>12</v>
      </c>
      <c r="B81" s="6"/>
      <c r="C81" s="231"/>
      <c r="D81" s="6"/>
      <c r="E81" s="6"/>
      <c r="F81" s="6"/>
    </row>
    <row r="82" spans="1:6" ht="12.75">
      <c r="A82" s="6" t="s">
        <v>13</v>
      </c>
      <c r="B82" s="6"/>
      <c r="C82" s="231"/>
      <c r="D82" s="6"/>
      <c r="E82" s="6"/>
      <c r="F82" s="6"/>
    </row>
    <row r="83" spans="1:6" ht="12.75">
      <c r="A83" s="6" t="s">
        <v>38</v>
      </c>
      <c r="B83" s="6"/>
      <c r="C83" s="231"/>
      <c r="D83" s="6"/>
      <c r="E83" s="6"/>
      <c r="F83" s="6"/>
    </row>
    <row r="84" spans="1:6" ht="12.75">
      <c r="A84" s="6" t="s">
        <v>48</v>
      </c>
      <c r="B84" s="6"/>
      <c r="C84" s="231"/>
      <c r="D84" s="6"/>
      <c r="E84" s="6"/>
      <c r="F84" s="6"/>
    </row>
    <row r="85" spans="1:6" ht="12.75">
      <c r="A85" s="6" t="s">
        <v>250</v>
      </c>
      <c r="B85" s="6"/>
      <c r="C85" s="231"/>
      <c r="D85" s="6"/>
      <c r="E85" s="6"/>
      <c r="F85" s="6"/>
    </row>
    <row r="86" spans="1:6" ht="12.75">
      <c r="A86" s="6" t="s">
        <v>40</v>
      </c>
      <c r="B86" s="6"/>
      <c r="C86" s="231"/>
      <c r="D86" s="6"/>
      <c r="E86" s="6"/>
      <c r="F86" s="6"/>
    </row>
    <row r="87" spans="1:6" ht="12.75">
      <c r="A87" s="6" t="s">
        <v>39</v>
      </c>
      <c r="B87" s="6"/>
      <c r="C87" s="231"/>
      <c r="D87" s="6"/>
      <c r="E87" s="6"/>
      <c r="F87" s="6"/>
    </row>
    <row r="88" spans="1:7" ht="13.5" thickBot="1">
      <c r="A88" s="260"/>
      <c r="B88" s="260"/>
      <c r="C88" s="260"/>
      <c r="D88" s="260"/>
      <c r="E88" s="260"/>
      <c r="F88" s="260"/>
      <c r="G88" s="261"/>
    </row>
    <row r="89" s="218" customFormat="1" ht="9.75">
      <c r="A89" s="218" t="s">
        <v>89</v>
      </c>
    </row>
    <row r="90" s="218" customFormat="1" ht="9.75">
      <c r="A90" s="218" t="s">
        <v>189</v>
      </c>
    </row>
    <row r="91" s="218" customFormat="1" ht="9.75">
      <c r="A91" s="218" t="s">
        <v>255</v>
      </c>
    </row>
    <row r="92" s="218" customFormat="1" ht="9.75">
      <c r="A92" s="218" t="s">
        <v>248</v>
      </c>
    </row>
    <row r="93" s="218" customFormat="1" ht="9.75">
      <c r="A93" s="218" t="s">
        <v>251</v>
      </c>
    </row>
    <row r="95" s="218" customFormat="1" ht="9.75">
      <c r="A95" s="218" t="s">
        <v>191</v>
      </c>
    </row>
  </sheetData>
  <sheetProtection/>
  <hyperlinks>
    <hyperlink ref="E9" r:id="rId1" display="2012/21/UE"/>
    <hyperlink ref="E10" r:id="rId2" display="OHLM - SEM"/>
    <hyperlink ref="G1" r:id="rId3" display="Question"/>
  </hyperlinks>
  <printOptions/>
  <pageMargins left="0.75" right="0.75" top="1" bottom="1" header="0.4921259845" footer="0.4921259845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ghekiere</dc:creator>
  <cp:keywords/>
  <dc:description/>
  <cp:lastModifiedBy>Laurent GHEKIERE</cp:lastModifiedBy>
  <cp:lastPrinted>2013-05-26T10:20:14Z</cp:lastPrinted>
  <dcterms:created xsi:type="dcterms:W3CDTF">2010-09-11T16:32:23Z</dcterms:created>
  <dcterms:modified xsi:type="dcterms:W3CDTF">2013-06-01T17:14:08Z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