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916" windowHeight="2640" activeTab="0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compensation'!$A$69:$K$180</definedName>
  </definedNames>
  <calcPr fullCalcOnLoad="1"/>
</workbook>
</file>

<file path=xl/sharedStrings.xml><?xml version="1.0" encoding="utf-8"?>
<sst xmlns="http://schemas.openxmlformats.org/spreadsheetml/2006/main" count="1070" uniqueCount="420">
  <si>
    <t>acquisition du foncier seulement, si foncier public gratuit ou bail emphytéotique : inscrire 0</t>
  </si>
  <si>
    <t>TTC au taux réduit de TVA (bien de première nécessité)</t>
  </si>
  <si>
    <t>montant annuel de TFPB à acquiter au terme de la période d'exonération temporaire</t>
  </si>
  <si>
    <t>et à l'exécution des obligations de service public imposées aux OHLM par l'Etat. Accès au logement de communautés marginalisées</t>
  </si>
  <si>
    <t>TFPB (hors exonération partielle reprise en équivalent subvention / compensations)</t>
  </si>
  <si>
    <t>Autres avantages économiques directement imputés aux coûts effectifs d'investissement (minoration des coûts effectifs)</t>
  </si>
  <si>
    <t>intérêts</t>
  </si>
  <si>
    <t>intérêt prêt comlémentaire 1</t>
  </si>
  <si>
    <t>Charge d'intérêts du prêt principal</t>
  </si>
  <si>
    <t>Charge d'intérêts du prêt comlémentaire 3</t>
  </si>
  <si>
    <t>Charge d'intérêts du prêt complémentaire 2</t>
  </si>
  <si>
    <t>Charge d'intérêts du prêt comlémentaire 1</t>
  </si>
  <si>
    <t>Bases juridiques du régime des compensations de service public applicable aux organismes d'HLM</t>
  </si>
  <si>
    <t>3- L'aide doit se limiter à couvrir les coûts liés aux investissements nécessaires, moins les recettes générées, plus un bénéfice raisonnable</t>
  </si>
  <si>
    <t>référence de la mesure du programme opérationnel (PO)</t>
  </si>
  <si>
    <t>si bail emphytéotique, renseigner la case spécifique ci-après</t>
  </si>
  <si>
    <t>taux réduit de TVA (bien de première nécessité)</t>
  </si>
  <si>
    <t>prélèvement annuel au prorata du nombre de logements de l'opération</t>
  </si>
  <si>
    <r>
      <t>euros/m2/an de surface corrigée : loyer effectif dans le respect de l'</t>
    </r>
    <r>
      <rPr>
        <b/>
        <sz val="8"/>
        <rFont val="Arial"/>
        <family val="2"/>
      </rPr>
      <t>OSP tarifaire - accessibilité tarifaire</t>
    </r>
  </si>
  <si>
    <t>recettes brutes annuelles générées - total</t>
  </si>
  <si>
    <t>hors prêts</t>
  </si>
  <si>
    <t>préciser : CDC PLAI</t>
  </si>
  <si>
    <t>préciser : CDC foncier</t>
  </si>
  <si>
    <t>préciser : 1% logement …</t>
  </si>
  <si>
    <t>préciser : …</t>
  </si>
  <si>
    <r>
      <t>OSP</t>
    </r>
    <r>
      <rPr>
        <sz val="8"/>
        <color indexed="10"/>
        <rFont val="Arial"/>
        <family val="2"/>
      </rPr>
      <t xml:space="preserve"> Loyer plafond convention APL</t>
    </r>
  </si>
  <si>
    <r>
      <t>OSP</t>
    </r>
    <r>
      <rPr>
        <sz val="8"/>
        <color indexed="10"/>
        <rFont val="Arial"/>
        <family val="2"/>
      </rPr>
      <t xml:space="preserve"> Taux d'augmentation annuelle des loyers</t>
    </r>
  </si>
  <si>
    <r>
      <t>OSP</t>
    </r>
    <r>
      <rPr>
        <sz val="8"/>
        <color indexed="10"/>
        <rFont val="Arial"/>
        <family val="0"/>
      </rPr>
      <t xml:space="preserve"> taux d'impayés de référence</t>
    </r>
  </si>
  <si>
    <r>
      <t>OSP</t>
    </r>
    <r>
      <rPr>
        <sz val="8"/>
        <color indexed="10"/>
        <rFont val="Arial"/>
        <family val="0"/>
      </rPr>
      <t xml:space="preserve"> taux de vacance de référence</t>
    </r>
  </si>
  <si>
    <r>
      <t>OSP</t>
    </r>
    <r>
      <rPr>
        <sz val="8"/>
        <color indexed="10"/>
        <rFont val="Arial"/>
        <family val="0"/>
      </rPr>
      <t xml:space="preserve"> pertes liées aux taux de vacance et d'impayés</t>
    </r>
  </si>
  <si>
    <r>
      <t xml:space="preserve">OSP fonds revolving SIEG, </t>
    </r>
    <r>
      <rPr>
        <sz val="8"/>
        <color indexed="10"/>
        <rFont val="Arial"/>
        <family val="0"/>
      </rPr>
      <t>Fonds propres de l'OHLM</t>
    </r>
  </si>
  <si>
    <t>Garantie publique gratuite de collectivités locales ou garantie payante CGLLS (2% du montant des prêts)</t>
  </si>
  <si>
    <t>si garantie gratuite inscrivez 0, si garantie CGLLS inscrivez le montant des emprunts x 2% soit :</t>
  </si>
  <si>
    <t>convention CGLLS</t>
  </si>
  <si>
    <t>charge effective d'intérêts des emprunts contractés, valeur actuelle</t>
  </si>
  <si>
    <t>emprunt total</t>
  </si>
  <si>
    <t>durée prêt princ</t>
  </si>
  <si>
    <t>Total charge d'intérêts</t>
  </si>
  <si>
    <t>intérêts prêt complémentaire 2</t>
  </si>
  <si>
    <t xml:space="preserve"> Charge de garantie</t>
  </si>
  <si>
    <t>TFPB hors exo</t>
  </si>
  <si>
    <t>Taux réduit</t>
  </si>
  <si>
    <t>TVA taux réduit</t>
  </si>
  <si>
    <t>Intérêt prêt complémentaire 3</t>
  </si>
  <si>
    <t>Notice explicative du régime de la compensation de service public et méthode de calcul retenue</t>
  </si>
  <si>
    <t>sous condition de mandat SIEG des OHLM (art.4), note justificative :</t>
  </si>
  <si>
    <t>Rappel : Plan de financement de l'investissement en infrastructure immobilière</t>
  </si>
  <si>
    <t>ménages</t>
  </si>
  <si>
    <t>Les recettes générées par l'investissement (art.5.4) sur la durée du prêt principal</t>
  </si>
  <si>
    <r>
      <t>Garantie publique gratuite ou garantie payante CGLLS (</t>
    </r>
    <r>
      <rPr>
        <b/>
        <sz val="8"/>
        <rFont val="Arial"/>
        <family val="2"/>
      </rPr>
      <t>OSP continuité financière)</t>
    </r>
  </si>
  <si>
    <t>coûts effectifs hors exo de TFPB, valeur actuelle</t>
  </si>
  <si>
    <t>TFPB à acquiter hors exonération sur durée du prêt principal - valeur actuelle</t>
  </si>
  <si>
    <t>coût de l'investissement à financer (bâti HT, foncier HT, honoraire HT)</t>
  </si>
  <si>
    <t>recomposition des fonds propres investis, rémunérés au taux moyen du Livret A, valeur actuelle</t>
  </si>
  <si>
    <r>
      <t xml:space="preserve">décision CE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(sans transposition en droit interne)</t>
    </r>
  </si>
  <si>
    <t xml:space="preserve">Test d'absence de surcompensation en deux temps : </t>
  </si>
  <si>
    <t>Un "test prévisionnel" à joindre au dossier d'instruction et à annexer à la convention attributive du FEDER</t>
  </si>
  <si>
    <t>Un "test paiement du solde" par actualisation des données du test prévisionnel (compensations et recettes effectivement perçues)</t>
  </si>
  <si>
    <t>X</t>
  </si>
  <si>
    <t>TEST PREVISIONNEL</t>
  </si>
  <si>
    <t>! Cochez</t>
  </si>
  <si>
    <t>TEST PAIEMENT DU SOLDE</t>
  </si>
  <si>
    <t>année référence</t>
  </si>
  <si>
    <t>Test établi sur la durée de remboursement du prêt principal finançant l'investissement</t>
  </si>
  <si>
    <t>inclusion sociale de communautées marginalisées</t>
  </si>
  <si>
    <t>recomposition des fonds propres investis rémunérés au taux moyen du livret A (art.5.8)</t>
  </si>
  <si>
    <t>Total Intérêts des emprunts</t>
  </si>
  <si>
    <t>report annuel de surcompensation</t>
  </si>
  <si>
    <t>Coûts d'exploitation TTC</t>
  </si>
  <si>
    <t>Total subventions</t>
  </si>
  <si>
    <t>Plan de financement détaillé de l'opération</t>
  </si>
  <si>
    <t>ACCES AU LOGEMENT DES COMMUNAUTES MARGINALISEES</t>
  </si>
  <si>
    <t>Total recettes générées</t>
  </si>
  <si>
    <t>FEDER</t>
  </si>
  <si>
    <t>recettes fiscales générées (TVA - taux réduit)</t>
  </si>
  <si>
    <t>Coûts liés aux investissements en travaux HT (foncier - bâti - honoraires)</t>
  </si>
  <si>
    <t>produit annuel de la vente</t>
  </si>
  <si>
    <t>TFPB acquitée</t>
  </si>
  <si>
    <t>Méthode de calcul retenue pour la compensation d'opération de construction de logements adaptés</t>
  </si>
  <si>
    <t>Coût total de l'investissement HT</t>
  </si>
  <si>
    <t>Coûts bruts occasionnés hors aides ( investissement - exploitation (articles 5.3.a et 5.3.d))</t>
  </si>
  <si>
    <r>
      <t>données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découlant de l'exécution du SIEG de logement social et imposées à l'OHLM par mandat de l'Etat</t>
    </r>
  </si>
  <si>
    <t>Coûts de l'investissement HT</t>
  </si>
  <si>
    <t>Emprunts contractés par l'OHLM</t>
  </si>
  <si>
    <t>ESB exonération temporaire de TFPB</t>
  </si>
  <si>
    <t>recettes nettes annuelles imputables à l'opération</t>
  </si>
  <si>
    <r>
      <t xml:space="preserve">non recettes 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 -  </t>
    </r>
    <r>
      <rPr>
        <b/>
        <sz val="8"/>
        <rFont val="Arial"/>
        <family val="2"/>
      </rPr>
      <t>OSP occupation sociale</t>
    </r>
  </si>
  <si>
    <t>Coût total à financer investissement TTC</t>
  </si>
  <si>
    <t>provision annuelle sur base du ratio moyen de l'organisme par logement</t>
  </si>
  <si>
    <t>Gestion et entretien sur durée du prêt principal (provisions)</t>
  </si>
  <si>
    <t>Grosses réparations sur durée du prêt principal (provisions)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</si>
  <si>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(art.5.1)</t>
    </r>
  </si>
  <si>
    <t>(rendement des capitaux propres moyen (art.5.8) sur durée d'ammortissement)</t>
  </si>
  <si>
    <t>Notice explicative précisant les dispositions de la décision CE, leur application effective à l'opération de rénovation thermique et les méthodes de calcul retenues</t>
  </si>
  <si>
    <r>
      <t xml:space="preserve">recettes annuelles cumulées 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</t>
    </r>
  </si>
  <si>
    <t>Taux de référence retenus</t>
  </si>
  <si>
    <t>Fonds propres investis par l'OHLM</t>
  </si>
  <si>
    <t xml:space="preserve">  </t>
  </si>
  <si>
    <t>Détail des calculs automatiques des coûts nets, du bénéfice raisonnable et du montant de la compensation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</si>
  <si>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</si>
  <si>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</si>
  <si>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</si>
  <si>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</si>
  <si>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</si>
  <si>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</si>
  <si>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</si>
  <si>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</si>
  <si>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t xml:space="preserve"> </t>
  </si>
  <si>
    <t>%</t>
  </si>
  <si>
    <t>Total</t>
  </si>
  <si>
    <t>durée</t>
  </si>
  <si>
    <t>Question</t>
  </si>
  <si>
    <t>Surface totale en m2</t>
  </si>
  <si>
    <t>Bénéfice raisonnable</t>
  </si>
  <si>
    <t>Coûts nets + bénéfice raisonnable</t>
  </si>
  <si>
    <t>N° Presage</t>
  </si>
  <si>
    <t>PO 2007-2013</t>
  </si>
  <si>
    <t>OSP</t>
  </si>
  <si>
    <t>m2 de surface corrigée</t>
  </si>
  <si>
    <t>m2 de surface habitable</t>
  </si>
  <si>
    <t>Prêt principal</t>
  </si>
  <si>
    <t>Année</t>
  </si>
  <si>
    <t>valeur actuelle</t>
  </si>
  <si>
    <t>taux d'actualisation</t>
  </si>
  <si>
    <t>total recettes nettes imputables à l'opération FEDER</t>
  </si>
  <si>
    <t>prêt complémentaire 1</t>
  </si>
  <si>
    <t>prêt complémentaire 2</t>
  </si>
  <si>
    <t>prêt complémentaire 3</t>
  </si>
  <si>
    <t>cumul</t>
  </si>
  <si>
    <t>date de référence</t>
  </si>
  <si>
    <t>Coût garantie CGLLS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</si>
  <si>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</si>
  <si>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</si>
  <si>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</si>
  <si>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</si>
  <si>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</si>
  <si>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</si>
  <si>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</si>
  <si>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</si>
  <si>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</si>
  <si>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</si>
  <si>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Taux d'actualisation retenu</t>
  </si>
  <si>
    <t>Compensation des coûts nets</t>
  </si>
  <si>
    <t>COUTS</t>
  </si>
  <si>
    <t>RECETTES</t>
  </si>
  <si>
    <t>Subventions à l'investissement</t>
  </si>
  <si>
    <t>Impayés et vacance</t>
  </si>
  <si>
    <t>Taux de cocompensation du FEDER</t>
  </si>
  <si>
    <t>article 2.1.c</t>
  </si>
  <si>
    <t>article 5.3.d</t>
  </si>
  <si>
    <t>considérant 11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</si>
  <si>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</si>
  <si>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</si>
  <si>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</si>
  <si>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</si>
  <si>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</si>
  <si>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</si>
  <si>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Recettes générées - valeur actuelle - cf feuillet 2 exploitation sur durée du prêt principal (article 5.4)</t>
  </si>
  <si>
    <t>article 2.2</t>
  </si>
  <si>
    <t>mandat supérieur à 10 ans - investissements importants - spécificité du SIEG de logement social (considérant 12)</t>
  </si>
  <si>
    <t>Coûts nets + bénéfice raisonnable (articles 5.5 à 5.8)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</si>
  <si>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</si>
  <si>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</si>
  <si>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Compensation (articles 2.1.c et 4.d)</t>
  </si>
  <si>
    <t>COMPENSATION</t>
  </si>
  <si>
    <t>BENEFICE</t>
  </si>
  <si>
    <t>CONTRÔLE</t>
  </si>
  <si>
    <t>COUT TOTAL</t>
  </si>
  <si>
    <t>Coûts nets</t>
  </si>
  <si>
    <t>Loyers</t>
  </si>
  <si>
    <t>Pertes</t>
  </si>
  <si>
    <t>Subventions</t>
  </si>
  <si>
    <t>Total financement</t>
  </si>
  <si>
    <t>UE - Traité</t>
  </si>
  <si>
    <t>UE - Décision CE</t>
  </si>
  <si>
    <t>106.2</t>
  </si>
  <si>
    <t>La compensation est compatible avec le Traité si elle n'excède pas ce qui est nécessaire à l'exécution du SIEG de logement social (coûts moins les recettes plus un bénéfice raisonnable).</t>
  </si>
  <si>
    <t>Absence de surcompensation - report et remboursement de surcompensations (articles 5.1, 5.10 et 6.2)</t>
  </si>
  <si>
    <t xml:space="preserve">Durée d'utilisation </t>
  </si>
  <si>
    <t>Produits annexes vente KWh photovoltaïque</t>
  </si>
  <si>
    <t>Coût nets (coûts bruts - recettes)</t>
  </si>
  <si>
    <t>total des subventions à l'investissement mobilisées, y compris FEDER</t>
  </si>
  <si>
    <t>ans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</si>
  <si>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</t>
    </r>
  </si>
  <si>
    <t>dont taux de compensation FEDER</t>
  </si>
  <si>
    <r>
      <t>Nature de l'opération</t>
    </r>
    <r>
      <rPr>
        <sz val="8"/>
        <rFont val="Arial"/>
        <family val="0"/>
      </rPr>
      <t xml:space="preserve"> : investissement dans une infrastructure nécessaire au fonctionnement du SIEG de logement social</t>
    </r>
  </si>
  <si>
    <t>Contrôle d'absence de surcompensation</t>
  </si>
  <si>
    <t>part du FEDER / compensation</t>
  </si>
  <si>
    <t>Aide d'Etat compatible si absence de surcompensation : décision</t>
  </si>
  <si>
    <t>Indicateurs Europe 2020</t>
  </si>
  <si>
    <t>Feuillet 2</t>
  </si>
  <si>
    <t>Feuillet 3</t>
  </si>
  <si>
    <t>Taux du livret A sur long terme</t>
  </si>
  <si>
    <t>Taux d'impayés de référence</t>
  </si>
  <si>
    <t>Taux de vacance de référence</t>
  </si>
  <si>
    <t>CCH</t>
  </si>
  <si>
    <t>si positif : absence de surcompensation</t>
  </si>
  <si>
    <t>si négatif : surcompensation à rembourser</t>
  </si>
  <si>
    <t>CUS</t>
  </si>
  <si>
    <t>Convention APL</t>
  </si>
  <si>
    <t>SIEG</t>
  </si>
  <si>
    <t>article L445.1 CCH complète ce mandat législatif par une convention entreprise par entreprise renouvelable tous les 5 ans</t>
  </si>
  <si>
    <t>article L411 CCH définit les missions particulières imparties au SIEG de logement social, son périmètre et mandate les entreprises chargées de sa gestion</t>
  </si>
  <si>
    <t xml:space="preserve"> Produits annexes : vente KWh photovoltaïque…</t>
  </si>
  <si>
    <t>Vente KWh</t>
  </si>
  <si>
    <t>article 106.2 du Traité sur le fonctionnement de l'Union européenne (TFUE)</t>
  </si>
  <si>
    <t>spécificités du SIEG du logement social, des hôpitaux et autres services sociaux concernés par la décision CE 2012/21.UE</t>
  </si>
  <si>
    <t>Calcul automatique des données nécessaires au contrôle sur base des caractéristiques de l'opération</t>
  </si>
  <si>
    <t>article R353 CCH complète ce mandat législatif par une convention logement par logement définissant les OSP en matière d'occupation des logements</t>
  </si>
  <si>
    <t>Pièces justificatives</t>
  </si>
  <si>
    <t>code présage</t>
  </si>
  <si>
    <t>Note DHUP 281211</t>
  </si>
  <si>
    <t>Délibération</t>
  </si>
  <si>
    <t>Contrat de cession</t>
  </si>
  <si>
    <t>Convention</t>
  </si>
  <si>
    <t>Offre de prêt</t>
  </si>
  <si>
    <t>prise en compte des coûts liés aux investissements nécessaires à l'exécution du SIEG</t>
  </si>
  <si>
    <t>Garantie des emprunts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</si>
  <si>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</si>
  <si>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</si>
  <si>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</si>
  <si>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Délibération CL</t>
  </si>
  <si>
    <t>UE - Décision CE 2012/21/UE - dispositions spécifiques au SIEG de logement social - articles de référence</t>
  </si>
  <si>
    <t>si valeur négative : surcompensation non nécessaire à l'exécution du SIEG à rembourser ou à reporter partiellement</t>
  </si>
  <si>
    <t>nature</t>
  </si>
  <si>
    <t>Mandat OHLM</t>
  </si>
  <si>
    <t>Calcul établi sur base de la durée d'amortissement du prêt principal</t>
  </si>
  <si>
    <t>Compensation totale</t>
  </si>
  <si>
    <t>(taux de couverture des coûts nets et du bénéfice raisonnable par le FEDER)</t>
  </si>
  <si>
    <t>(part de la subvention FEDER dans la compensation totale)</t>
  </si>
  <si>
    <t>Calculs détaillés</t>
  </si>
  <si>
    <t>Décision initiale du 19 décembre 2005 abrogée par la décision 2012/21/UE entrée en application au 31 janvier 2012</t>
  </si>
  <si>
    <t>TVA</t>
  </si>
  <si>
    <t>TFPB</t>
  </si>
  <si>
    <r>
      <t xml:space="preserve">Spécificité : </t>
    </r>
    <r>
      <rPr>
        <sz val="8"/>
        <rFont val="Arial"/>
        <family val="2"/>
      </rPr>
      <t>cofinancement des investissements nécessaires par des aides directes et indirectes, dont FEDER</t>
    </r>
  </si>
  <si>
    <t>Fonds propres investis par l'organisme HLM bénéficiaire du FEDER</t>
  </si>
  <si>
    <t>Aides publiques directes octroyées à l'organisme HLM en compensation, dont FEDER</t>
  </si>
  <si>
    <t>Emprunts contractés par l'organisme HLM bénéficiaire du FEDER</t>
  </si>
  <si>
    <t>Total coûts nets</t>
  </si>
  <si>
    <t>Solde</t>
  </si>
  <si>
    <r>
      <t xml:space="preserve">Indice de référence </t>
    </r>
    <r>
      <rPr>
        <b/>
        <sz val="8"/>
        <rFont val="Arial"/>
        <family val="2"/>
      </rPr>
      <t>OSP tarifaire</t>
    </r>
  </si>
  <si>
    <t>Le bénéfice raisonnable (art.5.5 à 5.8) sur durée du prêt principal (valeur actuelle)</t>
  </si>
  <si>
    <t>TOTAL BRUT</t>
  </si>
  <si>
    <t>TOTAL NET</t>
  </si>
  <si>
    <t>TOTAL COMPENSATION</t>
  </si>
  <si>
    <t>Voir détail des calculs dans le tableau en feuillet 2 et notice explicative en feuillet 3</t>
  </si>
  <si>
    <t>absence de surcompensation si +</t>
  </si>
  <si>
    <t>La compensation = la somme des "cocompensations" directes et indirectes, dont FEDER</t>
  </si>
  <si>
    <t>TOTAL</t>
  </si>
  <si>
    <t>Taux d'actualisation</t>
  </si>
  <si>
    <t>ACCES AU LOGEMENT DES COMMUNAUTES MARGINALISEES - Régime des compensations de service public</t>
  </si>
  <si>
    <t>Contrôle d'absence de surcompensation d'une opération d'investissement en construction ou démolition-reconstruction de logements sociaux adaptés</t>
  </si>
  <si>
    <t>logements sociaux adaptés</t>
  </si>
  <si>
    <t>dont bâti HT</t>
  </si>
  <si>
    <t>dont honoraires et frais d'actes HT</t>
  </si>
  <si>
    <r>
      <t xml:space="preserve">euros/an sous </t>
    </r>
    <r>
      <rPr>
        <b/>
        <sz val="8"/>
        <rFont val="Arial"/>
        <family val="2"/>
      </rPr>
      <t>OSP tarifaire</t>
    </r>
  </si>
  <si>
    <t>gestion et entretien</t>
  </si>
  <si>
    <t>grosses réparations</t>
  </si>
  <si>
    <t>Prélèvement CGLLS</t>
  </si>
  <si>
    <t>montant annuel de vente</t>
  </si>
  <si>
    <t>Taux normal de TVA</t>
  </si>
  <si>
    <t>Taux réduit de TVA</t>
  </si>
  <si>
    <t>Durée de référence du calcul</t>
  </si>
  <si>
    <t>Gestion et entretien</t>
  </si>
  <si>
    <t>Grosses réparations</t>
  </si>
  <si>
    <t>CGLLS</t>
  </si>
  <si>
    <t>pertes</t>
  </si>
  <si>
    <t>recettes</t>
  </si>
  <si>
    <t>recettes nettes</t>
  </si>
  <si>
    <t>Provisions</t>
  </si>
  <si>
    <t>provision pour gestion et entretien sur durée du prêt principal - valeur actuelle</t>
  </si>
  <si>
    <t>provision pour grosses réparations sur durée du prêt principal - valeur actuelle</t>
  </si>
  <si>
    <t>taux de pertes</t>
  </si>
  <si>
    <t>prix de revient total du programme HT</t>
  </si>
  <si>
    <t>Recettes - coûts - compensations - bénéfice raisonnable</t>
  </si>
  <si>
    <t>Annuités</t>
  </si>
  <si>
    <t>Intérêts</t>
  </si>
  <si>
    <t>CRD</t>
  </si>
  <si>
    <t>Nombre de logements concernés</t>
  </si>
  <si>
    <t>Prélèvement obligatoire CGLLS au prorata du nombre de logements sur durée du prêt principal - valeur actuelle</t>
  </si>
  <si>
    <t>équivalent-subvention de l'exonération de TFPB (N+3 à N+25), valeur actuelle</t>
  </si>
  <si>
    <t>emplois induits (indicateur MEDDATT)</t>
  </si>
  <si>
    <t>recettes fiscales générées (TFPB) valeur actuelle</t>
  </si>
  <si>
    <t>préciser : date de dépôt du dossier ou de signature de la convention attributive FEDER</t>
  </si>
  <si>
    <t>dont TVA</t>
  </si>
  <si>
    <t>total recettes fiscales générées</t>
  </si>
  <si>
    <t>provision annuelle pour le programme sur base du ratio moyen de l'organisme par logement</t>
  </si>
  <si>
    <r>
      <t xml:space="preserve">année 1 / recettes brutes,  </t>
    </r>
    <r>
      <rPr>
        <b/>
        <sz val="8"/>
        <rFont val="Arial"/>
        <family val="2"/>
      </rPr>
      <t>OSP attributions - occupation sociale - procédures</t>
    </r>
  </si>
  <si>
    <t>Recettes locatives générées par l'opération</t>
  </si>
  <si>
    <t>Autres sources de recettes annexes</t>
  </si>
  <si>
    <t>de l'opération est financée par endettement de l'OHLM</t>
  </si>
  <si>
    <t>de l'opération est financée par subventions directes dont</t>
  </si>
  <si>
    <t>de FEDER</t>
  </si>
  <si>
    <t>Récapitulatif du plan de financement</t>
  </si>
  <si>
    <t>Endettement de l'OHLM</t>
  </si>
  <si>
    <t>dont FEDER</t>
  </si>
  <si>
    <r>
      <t xml:space="preserve">de l'opération est financée sur fonds propres de l'OHLM - </t>
    </r>
    <r>
      <rPr>
        <b/>
        <sz val="8"/>
        <rFont val="Arial"/>
        <family val="2"/>
      </rPr>
      <t>OSP fonds propres revolving SIEG</t>
    </r>
  </si>
  <si>
    <t>de l'opération est financée par subventions directes, dont FEDER</t>
  </si>
  <si>
    <t>de l'opération est financée par le FEDER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</si>
  <si>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</si>
  <si>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r>
      <t>OSP</t>
    </r>
    <r>
      <rPr>
        <sz val="8"/>
        <color indexed="10"/>
        <rFont val="Arial"/>
        <family val="0"/>
      </rPr>
      <t xml:space="preserve"> Fonds propres</t>
    </r>
  </si>
  <si>
    <r>
      <t xml:space="preserve">Donnée de référence CGLLS - coût facturé - </t>
    </r>
    <r>
      <rPr>
        <b/>
        <sz val="8"/>
        <rFont val="Arial"/>
        <family val="2"/>
      </rPr>
      <t>OSP continuité financière du SIEG</t>
    </r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</si>
  <si>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 - </t>
    </r>
    <r>
      <rPr>
        <b/>
        <sz val="8"/>
        <rFont val="Arial"/>
        <family val="2"/>
      </rPr>
      <t>dans le respect de la convention APL - OSP accessibilité tarifaire - loyer plafond</t>
    </r>
  </si>
  <si>
    <t>si valeur positive : absence de surcompensation, marge d'aides complémentaires ou de recettes avant surcompensation</t>
  </si>
  <si>
    <t>Conformément à l'article 106.2 du Traité, l'Union européenne ne peut interdire ce qui est nécessaire et proportionné à l'exécution d'un SIEG et à l'imposition d'obligations de service public</t>
  </si>
  <si>
    <t>année de dépôt du dossier FEDER ou de signature de la convention attributive de la subvention au titre du FEDER</t>
  </si>
  <si>
    <t>Taux moyen, donnée de référence DHUP (LOLA)</t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</si>
  <si>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et compte tenu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</si>
  <si>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2- La compensation ne peut exécéder ce qui est nécessaire à la bonne exécution de ces obligations de service public (OSP) qui sont imposées par l'Etat à l'OHLM, à savoir :</t>
  </si>
  <si>
    <t>Principes généraux de la compensation de service public applicable au SIEG de logement social</t>
  </si>
  <si>
    <t>1- L'OHLM est chargé de la gestion du SIEG de logement social par plusieurs actes officiels de mandat qui le soumet à des obligations de service public (OSP)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</si>
  <si>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</t>
    </r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</si>
  <si>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</si>
  <si>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garantir une sécurité d'occupation de ces logements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</si>
  <si>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</si>
  <si>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</t>
    </r>
  </si>
  <si>
    <t>Données de l'opération d'investissement à renseigner obligatoirement par l'OHLM</t>
  </si>
  <si>
    <t>Subventions directes mobilisées par l'OHLM</t>
  </si>
  <si>
    <t>Résultats</t>
  </si>
  <si>
    <t>Recettes</t>
  </si>
  <si>
    <t>Coûts</t>
  </si>
  <si>
    <t>Compensation</t>
  </si>
  <si>
    <t>Charge d'intérêts des emprunts</t>
  </si>
  <si>
    <t>Donnée de référence fixée par l'Etat (DHUP)</t>
  </si>
  <si>
    <t>Taux d'intérêt</t>
  </si>
  <si>
    <t>Ammortissement</t>
  </si>
  <si>
    <t>Impayés + vacances</t>
  </si>
  <si>
    <t>capital</t>
  </si>
  <si>
    <t>dont acquisition foncier HT</t>
  </si>
  <si>
    <t>Bail emphytéotique</t>
  </si>
  <si>
    <t>contrat de bail</t>
  </si>
  <si>
    <t>Loyer</t>
  </si>
  <si>
    <t>TVA au taux réduit</t>
  </si>
  <si>
    <t>TVA à acquiter au taux réduit (bien de première nécessité)</t>
  </si>
  <si>
    <t>Loyers bail emphytéotique</t>
  </si>
  <si>
    <t>Loyers annuels sur durée d'utilisation, valeur actuelle</t>
  </si>
  <si>
    <t>intérêts prêt principal</t>
  </si>
  <si>
    <t>emplois</t>
  </si>
  <si>
    <t>Charge de garantie des emprunts</t>
  </si>
  <si>
    <t>Loyers sous OSP tarifaires, valeur actuelle</t>
  </si>
  <si>
    <t>produits annexes (vente Kwh photovoltaique), valeur actuelle</t>
  </si>
  <si>
    <t>Bâti HT + foncier HT + frais d'actes et d'honoraires HT : coûts effectifs</t>
  </si>
  <si>
    <t>Recettes tirées de l'opération</t>
  </si>
  <si>
    <t>Recettes locatives : recettes générées compte tenu des OSP tarifaires, valeur actuelle</t>
  </si>
  <si>
    <t>Recettes produits annexes : recettes générées par la vente de Kwh photovoltaiques, valeur actuelle</t>
  </si>
  <si>
    <t>TVA : Taux de TVA effectif (taux réduit) au titre des biens de première nécessité - imputation directe aux coûts d'investissement</t>
  </si>
  <si>
    <t>Compensations de service public</t>
  </si>
  <si>
    <t>Compensation sous forme de subventions directes à l'investissement : montant des subventions directes octroyées, dont FEDER</t>
  </si>
  <si>
    <t>Charge d'intérêts des emprunts = charge effective supportée par l'OHLM pour financer l'investissement</t>
  </si>
  <si>
    <t>TFPB : Taux normal hors dégrèvement, prise en compte du dégrèvement partiel au titre de la compensation (Equivalent subvention).</t>
  </si>
  <si>
    <t>Garantie publique des emprunts : prise en compte en minoration de la garantie des emprunts dans les coûts d'investissement</t>
  </si>
  <si>
    <t>Taux réduit de TVA (bien de première nécessité) : pris en compte en minoration de la TVA applicable aux investissements</t>
  </si>
  <si>
    <t>report de surcompensation éventuelle</t>
  </si>
  <si>
    <t>TVA (au taux réduit au titre des biens de premiere nécessité)</t>
  </si>
  <si>
    <t>Charge de loyers (foncier) en cas de bail emphytéotique, valeur actuelle</t>
  </si>
  <si>
    <t>Compensation sous forme d'exonération partielle de TFPB : exonération années N+3 à N+25, équivalent subvention, valeur actuelle</t>
  </si>
  <si>
    <t>Total investissement généré TTC (TVA taux réduit)</t>
  </si>
  <si>
    <t>Equivalent-subvention de l'exonération partielle de TFPB, valeur actuelle</t>
  </si>
  <si>
    <t>Equivalent subvention</t>
  </si>
  <si>
    <t>ESB exonération de TFPB, valeur actuelle</t>
  </si>
  <si>
    <t>Total, valeur actuelle</t>
  </si>
  <si>
    <t>Exo partielle</t>
  </si>
  <si>
    <t>Prélèvement</t>
  </si>
  <si>
    <r>
      <t xml:space="preserve">Commentaire - méthode de calcul - </t>
    </r>
    <r>
      <rPr>
        <b/>
        <i/>
        <sz val="8"/>
        <color indexed="10"/>
        <rFont val="Arial"/>
        <family val="2"/>
      </rPr>
      <t>recommandations</t>
    </r>
  </si>
  <si>
    <t>! Cochez la case correspondante</t>
  </si>
  <si>
    <t>OHLM</t>
  </si>
  <si>
    <t>Opération</t>
  </si>
  <si>
    <t>nom de l'OHLM</t>
  </si>
  <si>
    <t xml:space="preserve">précisez : </t>
  </si>
  <si>
    <t>précisez :</t>
  </si>
  <si>
    <t>I : Données de l'opération</t>
  </si>
  <si>
    <t>II : Coûts nets, bénéfice raisonnable et absence de surcompensation (art. 5 décision CE)</t>
  </si>
  <si>
    <t>Acte législatif de mandat des OHLM de la gestion du SIEG de logement social, complété par Convention d'Utilité Sociale (CUS) et Convention APL</t>
  </si>
  <si>
    <t>Droit interne : mandat législatif  (CCH) complété par des mandats par OHLM (convention d'utilité sociale) et par logement (convention APL).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</si>
  <si>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 - accessibilité financière</t>
    </r>
  </si>
  <si>
    <r>
      <t>Mode d'emploi</t>
    </r>
    <r>
      <rPr>
        <b/>
        <sz val="8"/>
        <rFont val="Arial"/>
        <family val="2"/>
      </rPr>
      <t xml:space="preserve"> : pour l'OHLM chargé de la gestion du SIEG de logement social et bénéficiaire du FEDER</t>
    </r>
  </si>
  <si>
    <t>Pièces justificatives disponibles auprès de l'OHLM en cas de contrôle</t>
  </si>
  <si>
    <t>Un "test actualisé paiement du solde" par actualisation des données du test prévisionnel (compensations et recettes effectivement perçues)</t>
  </si>
  <si>
    <t>Nom de l'opération - adresse</t>
  </si>
  <si>
    <r>
      <t xml:space="preserve">taux d'impayés de référence Etat DHUP </t>
    </r>
    <r>
      <rPr>
        <b/>
        <sz val="8"/>
        <rFont val="Arial"/>
        <family val="2"/>
      </rPr>
      <t>OSP attributions - occupation sociale des logements - risques</t>
    </r>
  </si>
  <si>
    <r>
      <t xml:space="preserve">taux de vacance de référence Etat DHUP </t>
    </r>
    <r>
      <rPr>
        <b/>
        <sz val="8"/>
        <rFont val="Arial"/>
        <family val="2"/>
      </rPr>
      <t>OSP attributions - occupation sociale des logements - procédures</t>
    </r>
  </si>
  <si>
    <t>! Données d'une opération-type fictive à corriger</t>
  </si>
  <si>
    <t>Feuillet 1</t>
  </si>
  <si>
    <t>Test de compensation d'obligations de service public : données à renseigner par l'OHLM et résultats du test</t>
  </si>
  <si>
    <t>Détail des paramètres de calcul du contrôle de l'absence de surcompensation</t>
  </si>
  <si>
    <t>Notice explicative du résultat du test et de la méthode retenue</t>
  </si>
  <si>
    <t>coût total d'investissement - recettes locatives et annexes générées par l'opération</t>
  </si>
  <si>
    <t>subventions + ESB exo TFPB</t>
  </si>
  <si>
    <t>Charge d'intérêts des emprunts effectivement contractés, valeur actuelle</t>
  </si>
  <si>
    <t>Impayés et vacances (taux de référence Etat DHUP), valeur actuelle</t>
  </si>
  <si>
    <t>Charge de garantie des emprunts = charge effective de garantie (taux CGLLS ou garantie publique gratuite de collectivité locale).</t>
  </si>
  <si>
    <t>Provisions pour gestion, entretien, grosses réparations au taux de référence fixé par l'Etat</t>
  </si>
  <si>
    <t>Recomposition des fonds propres investis sur durée d'amortissement, rémunérés au tx moyen du Livret A (référence Etat DHUP)</t>
  </si>
  <si>
    <t>2012/21/CE</t>
  </si>
  <si>
    <t>CGLLS (prélèvement OSP continuité financière - mutualisation)</t>
  </si>
  <si>
    <t>Autres subventions directes à l'investissement mobilisées en cofinancement</t>
  </si>
  <si>
    <t>Coûts d'investissement et d'exploitation pris en compte = coûts effectifs d'investissement + provisions</t>
  </si>
  <si>
    <t>Non recettes locatives : pertes liées à la vacance et aux impayés (taux de référence fixé par l'Etat DHUP), valeur actuelle</t>
  </si>
  <si>
    <t>(2) le taux de compensation doit être inférieur ou égal à 100%</t>
  </si>
  <si>
    <t>non nécessaire à l'exécution du SIEG qui doit faire l'objet d'un remboursement car considérée commme étant "susceptible</t>
  </si>
  <si>
    <t xml:space="preserve">de fausser la concurrence au sein du marché intérieur et d'affecter le développement des échanges intracommunautaires" </t>
  </si>
  <si>
    <t>en accordant un avantage économique indu à l'OHLM bénéficiaire.</t>
  </si>
  <si>
    <t>Un report de surcompensation en déduction de futures compensations est autorisé à concurrence de</t>
  </si>
  <si>
    <t>Foncier public à prix inférieur à la valeur de marché (cession ou location): prise en compte directe en minoration des coûts</t>
  </si>
  <si>
    <t>Avantages de taux des prêts règlementés : prise en compte en minoration de la charge d'intérêts</t>
  </si>
  <si>
    <t>Coûts bruts hors aides directes (art.5.3 dont art.5.3.d relatif aux investissements)</t>
  </si>
  <si>
    <t>taux de compensation (2)</t>
  </si>
  <si>
    <t>(1) si positif, il s'agit de la marge d'aide ou de recettes avant surcompensation. S'il est négatif, il s'agit d'une surcompensation</t>
  </si>
  <si>
    <t>Solde (1)</t>
  </si>
  <si>
    <t>Taux applicable année de référence (à actualiser en cas de besoin)</t>
  </si>
  <si>
    <r>
      <t xml:space="preserve">exemption de notification </t>
    </r>
    <r>
      <rPr>
        <u val="single"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dont le logement social</t>
    </r>
  </si>
  <si>
    <t>TEST ACTUALISE PAIEMENT DU SOLDE</t>
  </si>
  <si>
    <r>
      <t xml:space="preserve">ans (durée du prêt principal) </t>
    </r>
    <r>
      <rPr>
        <b/>
        <i/>
        <sz val="8"/>
        <color indexed="10"/>
        <rFont val="Arial"/>
        <family val="2"/>
      </rPr>
      <t>! En l'absence de prêt, la durée de référence est de 40 ans</t>
    </r>
  </si>
  <si>
    <t>montant du loyer annuel si bail emphytéotique</t>
  </si>
  <si>
    <t>Exploitation des logements par l'organisme</t>
  </si>
  <si>
    <t>! cochez la case correspondante</t>
  </si>
  <si>
    <t>Exploitation des logements déléguée à un tiers spécialisé</t>
  </si>
  <si>
    <t>! adoptez les réponses en fonction du mode de gestion (directe ou déléguée)</t>
  </si>
  <si>
    <r>
      <t>! Adoptez les réponses en fonction du mode de gestion (directe ou déléguée</t>
    </r>
    <r>
      <rPr>
        <sz val="8"/>
        <rFont val="Arial"/>
        <family val="2"/>
      </rPr>
      <t>)</t>
    </r>
  </si>
  <si>
    <t>Version MAJ du 12/11/13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</si>
</sst>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\ _€_-;\-* #,##0\ _€_-;_-* &quot;-&quot;??\ _€_-;_-@_-"/>
    <numFmt numFmtId="172" formatCode="0.00000000"/>
    <numFmt numFmtId="173" formatCode="&quot;Vrai&quot;;&quot;Vrai&quot;;&quot;Faux&quot;"/>
    <numFmt numFmtId="174" formatCode="&quot;Actif&quot;;&quot;Actif&quot;;&quot;Inactif&quot;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0000\ _€_-;\-* #,##0.00000\ _€_-;_-* &quot;-&quot;??\ _€_-;_-@_-"/>
    <numFmt numFmtId="178" formatCode="_-* #,##0.000\ &quot;€&quot;_-;\-* #,##0.000\ &quot;€&quot;_-;_-* &quot;-&quot;??\ &quot;€&quot;_-;_-@_-"/>
    <numFmt numFmtId="179" formatCode="_-* #,##0.0000\ &quot;€&quot;_-;\-* #,##0.0000\ &quot;€&quot;_-;_-* &quot;-&quot;??\ &quot;€&quot;_-;_-@_-"/>
    <numFmt numFmtId="180" formatCode="0.000%"/>
    <numFmt numFmtId="181" formatCode="#,##0.00\ &quot;€&quot;"/>
    <numFmt numFmtId="182" formatCode="#,##0_ ;\-#,##0\ "/>
    <numFmt numFmtId="183" formatCode="#,##0.00_ ;\-#,##0.00\ "/>
    <numFmt numFmtId="184" formatCode="#,##0.00_ ;[Red]\-#,##0.00\ "/>
    <numFmt numFmtId="185" formatCode="[$-40C]dddd\ d\ mmmm\ yyyy"/>
    <numFmt numFmtId="186" formatCode="0.00_ ;\-0.00\ "/>
    <numFmt numFmtId="187" formatCode="0_ ;\-0\ "/>
    <numFmt numFmtId="188" formatCode="0.0"/>
    <numFmt numFmtId="189" formatCode="#,##0.00\ _€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8"/>
      <color indexed="4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u val="single"/>
      <sz val="8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183" fontId="1" fillId="0" borderId="0" xfId="44" applyNumberFormat="1" applyFont="1" applyFill="1" applyBorder="1" applyAlignment="1">
      <alignment/>
    </xf>
    <xf numFmtId="0" fontId="7" fillId="0" borderId="10" xfId="46" applyFont="1" applyBorder="1" applyAlignment="1" applyProtection="1">
      <alignment/>
      <protection/>
    </xf>
    <xf numFmtId="0" fontId="1" fillId="4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shrinkToFit="1"/>
    </xf>
    <xf numFmtId="49" fontId="3" fillId="0" borderId="0" xfId="0" applyNumberFormat="1" applyFont="1" applyFill="1" applyBorder="1" applyAlignment="1">
      <alignment shrinkToFit="1"/>
    </xf>
    <xf numFmtId="49" fontId="1" fillId="0" borderId="0" xfId="0" applyNumberFormat="1" applyFont="1" applyBorder="1" applyAlignment="1">
      <alignment readingOrder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3" fontId="3" fillId="0" borderId="0" xfId="44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4" borderId="0" xfId="0" applyFont="1" applyFill="1" applyBorder="1" applyAlignment="1">
      <alignment/>
    </xf>
    <xf numFmtId="10" fontId="1" fillId="4" borderId="0" xfId="53" applyNumberFormat="1" applyFont="1" applyFill="1" applyBorder="1" applyAlignment="1">
      <alignment/>
    </xf>
    <xf numFmtId="10" fontId="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53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1" fillId="4" borderId="0" xfId="0" applyNumberFormat="1" applyFont="1" applyFill="1" applyAlignment="1">
      <alignment horizontal="right"/>
    </xf>
    <xf numFmtId="49" fontId="5" fillId="4" borderId="0" xfId="53" applyNumberFormat="1" applyFont="1" applyFill="1" applyBorder="1" applyAlignment="1">
      <alignment/>
    </xf>
    <xf numFmtId="49" fontId="4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4" fontId="1" fillId="24" borderId="0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183" fontId="1" fillId="24" borderId="0" xfId="44" applyNumberFormat="1" applyFont="1" applyFill="1" applyBorder="1" applyAlignment="1">
      <alignment/>
    </xf>
    <xf numFmtId="10" fontId="1" fillId="0" borderId="0" xfId="44" applyNumberFormat="1" applyFont="1" applyFill="1" applyBorder="1" applyAlignment="1">
      <alignment/>
    </xf>
    <xf numFmtId="4" fontId="1" fillId="0" borderId="0" xfId="53" applyNumberFormat="1" applyFont="1" applyFill="1" applyBorder="1" applyAlignment="1">
      <alignment/>
    </xf>
    <xf numFmtId="183" fontId="1" fillId="24" borderId="0" xfId="44" applyNumberFormat="1" applyFont="1" applyFill="1" applyBorder="1" applyAlignment="1">
      <alignment/>
    </xf>
    <xf numFmtId="10" fontId="1" fillId="24" borderId="0" xfId="44" applyNumberFormat="1" applyFont="1" applyFill="1" applyBorder="1" applyAlignment="1">
      <alignment/>
    </xf>
    <xf numFmtId="49" fontId="6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5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" fontId="3" fillId="0" borderId="0" xfId="44" applyNumberFormat="1" applyFont="1" applyFill="1" applyBorder="1" applyAlignment="1">
      <alignment/>
    </xf>
    <xf numFmtId="2" fontId="1" fillId="4" borderId="0" xfId="0" applyNumberFormat="1" applyFont="1" applyFill="1" applyAlignment="1">
      <alignment horizontal="right"/>
    </xf>
    <xf numFmtId="49" fontId="1" fillId="4" borderId="0" xfId="0" applyNumberFormat="1" applyFont="1" applyFill="1" applyBorder="1" applyAlignment="1">
      <alignment/>
    </xf>
    <xf numFmtId="49" fontId="4" fillId="4" borderId="0" xfId="0" applyNumberFormat="1" applyFont="1" applyFill="1" applyAlignment="1">
      <alignment/>
    </xf>
    <xf numFmtId="49" fontId="1" fillId="4" borderId="0" xfId="46" applyNumberFormat="1" applyFont="1" applyFill="1" applyBorder="1" applyAlignment="1" applyProtection="1">
      <alignment/>
      <protection/>
    </xf>
    <xf numFmtId="49" fontId="1" fillId="4" borderId="0" xfId="53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5" fillId="0" borderId="0" xfId="53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4" borderId="0" xfId="0" applyNumberFormat="1" applyFont="1" applyFill="1" applyBorder="1" applyAlignment="1">
      <alignment/>
    </xf>
    <xf numFmtId="2" fontId="4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49" fontId="1" fillId="4" borderId="0" xfId="0" applyNumberFormat="1" applyFont="1" applyFill="1" applyAlignment="1">
      <alignment/>
    </xf>
    <xf numFmtId="2" fontId="1" fillId="4" borderId="0" xfId="46" applyNumberFormat="1" applyFont="1" applyFill="1" applyBorder="1" applyAlignment="1" applyProtection="1">
      <alignment/>
      <protection/>
    </xf>
    <xf numFmtId="2" fontId="1" fillId="4" borderId="0" xfId="53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1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Alignment="1">
      <alignment horizontal="right"/>
    </xf>
    <xf numFmtId="10" fontId="5" fillId="4" borderId="0" xfId="53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0" fontId="3" fillId="0" borderId="0" xfId="44" applyNumberFormat="1" applyFont="1" applyFill="1" applyBorder="1" applyAlignment="1">
      <alignment horizontal="center"/>
    </xf>
    <xf numFmtId="2" fontId="3" fillId="0" borderId="0" xfId="46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4" fontId="1" fillId="0" borderId="14" xfId="44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6" xfId="44" applyNumberFormat="1" applyFont="1" applyFill="1" applyBorder="1" applyAlignment="1">
      <alignment/>
    </xf>
    <xf numFmtId="4" fontId="3" fillId="0" borderId="16" xfId="44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3" fontId="1" fillId="0" borderId="15" xfId="0" applyNumberFormat="1" applyFont="1" applyBorder="1" applyAlignment="1">
      <alignment horizontal="right"/>
    </xf>
    <xf numFmtId="49" fontId="6" fillId="25" borderId="0" xfId="46" applyNumberFormat="1" applyFont="1" applyFill="1" applyBorder="1" applyAlignment="1" applyProtection="1">
      <alignment/>
      <protection/>
    </xf>
    <xf numFmtId="49" fontId="0" fillId="25" borderId="0" xfId="0" applyNumberFormat="1" applyFill="1" applyBorder="1" applyAlignment="1">
      <alignment/>
    </xf>
    <xf numFmtId="49" fontId="1" fillId="25" borderId="0" xfId="0" applyNumberFormat="1" applyFont="1" applyFill="1" applyAlignment="1">
      <alignment horizontal="right"/>
    </xf>
    <xf numFmtId="49" fontId="5" fillId="25" borderId="0" xfId="53" applyNumberFormat="1" applyFont="1" applyFill="1" applyBorder="1" applyAlignment="1">
      <alignment/>
    </xf>
    <xf numFmtId="49" fontId="4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0" fontId="1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4" fontId="3" fillId="20" borderId="16" xfId="44" applyNumberFormat="1" applyFont="1" applyFill="1" applyBorder="1" applyAlignment="1">
      <alignment/>
    </xf>
    <xf numFmtId="4" fontId="3" fillId="20" borderId="15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left"/>
    </xf>
    <xf numFmtId="0" fontId="1" fillId="2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4" fontId="3" fillId="0" borderId="17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5" xfId="0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right"/>
    </xf>
    <xf numFmtId="0" fontId="2" fillId="20" borderId="0" xfId="0" applyFont="1" applyFill="1" applyAlignment="1">
      <alignment horizontal="center"/>
    </xf>
    <xf numFmtId="10" fontId="1" fillId="20" borderId="16" xfId="44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horizontal="center"/>
    </xf>
    <xf numFmtId="10" fontId="3" fillId="0" borderId="17" xfId="44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/>
    </xf>
    <xf numFmtId="49" fontId="3" fillId="0" borderId="0" xfId="46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4" fontId="3" fillId="4" borderId="17" xfId="0" applyNumberFormat="1" applyFont="1" applyFill="1" applyBorder="1" applyAlignment="1">
      <alignment/>
    </xf>
    <xf numFmtId="4" fontId="3" fillId="4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4" fontId="1" fillId="0" borderId="2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11" xfId="46" applyFont="1" applyBorder="1" applyAlignment="1" applyProtection="1">
      <alignment/>
      <protection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10" fontId="9" fillId="0" borderId="16" xfId="44" applyNumberFormat="1" applyFont="1" applyFill="1" applyBorder="1" applyAlignment="1">
      <alignment horizontal="left"/>
    </xf>
    <xf numFmtId="10" fontId="4" fillId="0" borderId="16" xfId="44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183" fontId="1" fillId="24" borderId="29" xfId="44" applyNumberFormat="1" applyFont="1" applyFill="1" applyBorder="1" applyAlignment="1">
      <alignment/>
    </xf>
    <xf numFmtId="183" fontId="1" fillId="24" borderId="30" xfId="44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183" fontId="1" fillId="24" borderId="31" xfId="44" applyNumberFormat="1" applyFont="1" applyFill="1" applyBorder="1" applyAlignment="1">
      <alignment/>
    </xf>
    <xf numFmtId="0" fontId="1" fillId="0" borderId="28" xfId="0" applyFont="1" applyBorder="1" applyAlignment="1">
      <alignment horizontal="right"/>
    </xf>
    <xf numFmtId="183" fontId="3" fillId="0" borderId="32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0" fontId="5" fillId="0" borderId="0" xfId="53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28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84" fontId="0" fillId="0" borderId="0" xfId="0" applyNumberFormat="1" applyAlignment="1">
      <alignment/>
    </xf>
    <xf numFmtId="4" fontId="3" fillId="0" borderId="18" xfId="44" applyNumberFormat="1" applyFont="1" applyFill="1" applyBorder="1" applyAlignment="1">
      <alignment/>
    </xf>
    <xf numFmtId="0" fontId="1" fillId="20" borderId="23" xfId="0" applyFont="1" applyFill="1" applyBorder="1" applyAlignment="1">
      <alignment horizontal="right"/>
    </xf>
    <xf numFmtId="4" fontId="3" fillId="20" borderId="34" xfId="44" applyNumberFormat="1" applyFont="1" applyFill="1" applyBorder="1" applyAlignment="1">
      <alignment/>
    </xf>
    <xf numFmtId="10" fontId="1" fillId="0" borderId="0" xfId="53" applyNumberFormat="1" applyFont="1" applyFill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1" fillId="0" borderId="0" xfId="53" applyFont="1" applyAlignment="1">
      <alignment/>
    </xf>
    <xf numFmtId="9" fontId="3" fillId="0" borderId="0" xfId="53" applyFont="1" applyAlignment="1">
      <alignment/>
    </xf>
    <xf numFmtId="4" fontId="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9" fontId="2" fillId="0" borderId="0" xfId="53" applyFont="1" applyAlignment="1">
      <alignment/>
    </xf>
    <xf numFmtId="0" fontId="30" fillId="4" borderId="0" xfId="0" applyFont="1" applyFill="1" applyAlignment="1">
      <alignment/>
    </xf>
    <xf numFmtId="0" fontId="31" fillId="4" borderId="0" xfId="0" applyFont="1" applyFill="1" applyAlignment="1">
      <alignment/>
    </xf>
    <xf numFmtId="0" fontId="1" fillId="4" borderId="0" xfId="46" applyFont="1" applyFill="1" applyBorder="1" applyAlignment="1" applyProtection="1">
      <alignment/>
      <protection/>
    </xf>
    <xf numFmtId="10" fontId="3" fillId="0" borderId="17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1" fillId="4" borderId="17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46" applyFont="1" applyBorder="1" applyAlignment="1">
      <alignment horizontal="left"/>
    </xf>
    <xf numFmtId="0" fontId="7" fillId="26" borderId="0" xfId="46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11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7" fillId="25" borderId="0" xfId="46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1" fillId="4" borderId="0" xfId="0" applyNumberFormat="1" applyFont="1" applyFill="1" applyAlignment="1">
      <alignment horizontal="center" vertical="center" wrapText="1"/>
    </xf>
    <xf numFmtId="9" fontId="1" fillId="0" borderId="0" xfId="53" applyFont="1" applyAlignment="1">
      <alignment/>
    </xf>
    <xf numFmtId="0" fontId="7" fillId="11" borderId="0" xfId="46" applyFont="1" applyFill="1" applyBorder="1" applyAlignment="1">
      <alignment horizontal="center"/>
    </xf>
    <xf numFmtId="0" fontId="7" fillId="11" borderId="0" xfId="46" applyFont="1" applyFill="1" applyAlignment="1">
      <alignment horizontal="center"/>
    </xf>
    <xf numFmtId="49" fontId="7" fillId="11" borderId="0" xfId="46" applyNumberFormat="1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4" fontId="1" fillId="0" borderId="21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21" xfId="0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24" borderId="0" xfId="0" applyFont="1" applyFill="1" applyAlignment="1">
      <alignment horizontal="center"/>
    </xf>
    <xf numFmtId="4" fontId="1" fillId="0" borderId="21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3" fillId="0" borderId="18" xfId="0" applyFont="1" applyFill="1" applyBorder="1" applyAlignment="1">
      <alignment wrapText="1"/>
    </xf>
    <xf numFmtId="4" fontId="3" fillId="4" borderId="3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4" fontId="3" fillId="0" borderId="35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/>
    </xf>
    <xf numFmtId="183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10" fontId="1" fillId="4" borderId="0" xfId="0" applyNumberFormat="1" applyFont="1" applyFill="1" applyAlignment="1">
      <alignment horizontal="center"/>
    </xf>
    <xf numFmtId="4" fontId="1" fillId="0" borderId="11" xfId="0" applyNumberFormat="1" applyFont="1" applyBorder="1" applyAlignment="1">
      <alignment/>
    </xf>
    <xf numFmtId="10" fontId="1" fillId="4" borderId="17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 horizontal="right"/>
    </xf>
    <xf numFmtId="4" fontId="1" fillId="0" borderId="33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49" fontId="7" fillId="4" borderId="0" xfId="46" applyNumberFormat="1" applyFont="1" applyFill="1" applyAlignment="1">
      <alignment horizontal="center"/>
    </xf>
    <xf numFmtId="0" fontId="7" fillId="4" borderId="0" xfId="46" applyFont="1" applyFill="1" applyAlignment="1">
      <alignment horizontal="center"/>
    </xf>
    <xf numFmtId="0" fontId="1" fillId="0" borderId="14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1" fillId="11" borderId="0" xfId="0" applyNumberFormat="1" applyFont="1" applyFill="1" applyAlignment="1">
      <alignment horizontal="center"/>
    </xf>
    <xf numFmtId="0" fontId="7" fillId="4" borderId="0" xfId="46" applyFont="1" applyFill="1" applyBorder="1" applyAlignment="1">
      <alignment horizontal="center"/>
    </xf>
    <xf numFmtId="10" fontId="4" fillId="0" borderId="16" xfId="44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9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183" fontId="3" fillId="24" borderId="37" xfId="44" applyNumberFormat="1" applyFont="1" applyFill="1" applyBorder="1" applyAlignment="1">
      <alignment/>
    </xf>
    <xf numFmtId="0" fontId="35" fillId="0" borderId="11" xfId="0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4" fontId="1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0" fontId="3" fillId="0" borderId="37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53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10" fontId="1" fillId="24" borderId="0" xfId="0" applyNumberFormat="1" applyFont="1" applyFill="1" applyAlignment="1">
      <alignment horizontal="center"/>
    </xf>
    <xf numFmtId="0" fontId="3" fillId="0" borderId="11" xfId="0" applyFont="1" applyBorder="1" applyAlignment="1">
      <alignment/>
    </xf>
    <xf numFmtId="1" fontId="1" fillId="0" borderId="0" xfId="0" applyNumberFormat="1" applyFont="1" applyFill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1" fillId="4" borderId="0" xfId="0" applyNumberFormat="1" applyFont="1" applyFill="1" applyBorder="1" applyAlignment="1">
      <alignment wrapText="1"/>
    </xf>
    <xf numFmtId="4" fontId="3" fillId="4" borderId="0" xfId="0" applyNumberFormat="1" applyFont="1" applyFill="1" applyAlignment="1">
      <alignment wrapText="1"/>
    </xf>
    <xf numFmtId="4" fontId="3" fillId="4" borderId="0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horizontal="right"/>
    </xf>
    <xf numFmtId="0" fontId="35" fillId="4" borderId="11" xfId="0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4" fontId="4" fillId="4" borderId="0" xfId="0" applyNumberFormat="1" applyFont="1" applyFill="1" applyAlignment="1">
      <alignment/>
    </xf>
    <xf numFmtId="4" fontId="3" fillId="0" borderId="17" xfId="0" applyNumberFormat="1" applyFont="1" applyBorder="1" applyAlignment="1">
      <alignment horizontal="center" wrapText="1"/>
    </xf>
    <xf numFmtId="0" fontId="4" fillId="4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4" fontId="4" fillId="0" borderId="20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4" fontId="1" fillId="0" borderId="3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4" fontId="1" fillId="4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left"/>
    </xf>
    <xf numFmtId="0" fontId="1" fillId="0" borderId="17" xfId="0" applyFont="1" applyBorder="1" applyAlignment="1">
      <alignment horizontal="center" wrapText="1"/>
    </xf>
    <xf numFmtId="0" fontId="0" fillId="0" borderId="30" xfId="0" applyBorder="1" applyAlignment="1">
      <alignment/>
    </xf>
    <xf numFmtId="4" fontId="3" fillId="0" borderId="22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7" fillId="0" borderId="0" xfId="46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/>
    </xf>
    <xf numFmtId="0" fontId="7" fillId="0" borderId="0" xfId="46" applyFont="1" applyAlignment="1" applyProtection="1">
      <alignment horizontal="center"/>
      <protection/>
    </xf>
    <xf numFmtId="4" fontId="1" fillId="25" borderId="0" xfId="0" applyNumberFormat="1" applyFont="1" applyFill="1" applyAlignment="1">
      <alignment horizontal="left"/>
    </xf>
    <xf numFmtId="0" fontId="1" fillId="11" borderId="0" xfId="0" applyFont="1" applyFill="1" applyAlignment="1">
      <alignment/>
    </xf>
    <xf numFmtId="4" fontId="1" fillId="0" borderId="21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4" fontId="3" fillId="0" borderId="2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1" fillId="0" borderId="0" xfId="0" applyNumberFormat="1" applyFont="1" applyAlignment="1">
      <alignment/>
    </xf>
    <xf numFmtId="0" fontId="10" fillId="0" borderId="0" xfId="46" applyFont="1" applyBorder="1" applyAlignment="1" applyProtection="1">
      <alignment horizontal="center"/>
      <protection/>
    </xf>
    <xf numFmtId="4" fontId="3" fillId="4" borderId="36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readingOrder="1"/>
    </xf>
    <xf numFmtId="0" fontId="2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shrinkToFit="1"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readingOrder="1"/>
    </xf>
    <xf numFmtId="0" fontId="0" fillId="0" borderId="0" xfId="0" applyFont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4" fontId="1" fillId="0" borderId="42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4" fontId="1" fillId="0" borderId="30" xfId="0" applyNumberFormat="1" applyFont="1" applyBorder="1" applyAlignment="1">
      <alignment/>
    </xf>
    <xf numFmtId="4" fontId="3" fillId="25" borderId="0" xfId="0" applyNumberFormat="1" applyFont="1" applyFill="1" applyAlignment="1">
      <alignment/>
    </xf>
    <xf numFmtId="4" fontId="3" fillId="25" borderId="0" xfId="0" applyNumberFormat="1" applyFont="1" applyFill="1" applyBorder="1" applyAlignment="1">
      <alignment/>
    </xf>
    <xf numFmtId="4" fontId="1" fillId="25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45" xfId="0" applyNumberFormat="1" applyFont="1" applyBorder="1" applyAlignment="1">
      <alignment/>
    </xf>
    <xf numFmtId="0" fontId="2" fillId="24" borderId="0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49" fontId="0" fillId="0" borderId="21" xfId="0" applyNumberForma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49" fontId="1" fillId="25" borderId="13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3" fillId="11" borderId="0" xfId="0" applyFont="1" applyFill="1" applyBorder="1" applyAlignment="1">
      <alignment/>
    </xf>
    <xf numFmtId="0" fontId="3" fillId="0" borderId="3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10" fontId="1" fillId="0" borderId="22" xfId="44" applyNumberFormat="1" applyFont="1" applyFill="1" applyBorder="1" applyAlignment="1">
      <alignment/>
    </xf>
    <xf numFmtId="49" fontId="7" fillId="0" borderId="22" xfId="4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right"/>
    </xf>
    <xf numFmtId="49" fontId="5" fillId="0" borderId="22" xfId="53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4" fontId="3" fillId="4" borderId="22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4" fillId="0" borderId="46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44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181" fontId="3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shrinkToFit="1"/>
    </xf>
    <xf numFmtId="0" fontId="1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Alignment="1">
      <alignment horizontal="right"/>
    </xf>
    <xf numFmtId="10" fontId="1" fillId="25" borderId="0" xfId="53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0" fillId="25" borderId="0" xfId="0" applyFont="1" applyFill="1" applyAlignment="1">
      <alignment/>
    </xf>
    <xf numFmtId="4" fontId="3" fillId="0" borderId="11" xfId="44" applyNumberFormat="1" applyFont="1" applyFill="1" applyBorder="1" applyAlignment="1">
      <alignment/>
    </xf>
    <xf numFmtId="0" fontId="1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0" xfId="0" applyNumberFormat="1" applyFont="1" applyBorder="1" applyAlignment="1">
      <alignment readingOrder="1"/>
    </xf>
    <xf numFmtId="0" fontId="1" fillId="0" borderId="25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10" fontId="1" fillId="4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0" fontId="1" fillId="24" borderId="0" xfId="53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49" fontId="2" fillId="0" borderId="13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0" borderId="0" xfId="0" applyAlignment="1">
      <alignment/>
    </xf>
    <xf numFmtId="2" fontId="1" fillId="4" borderId="15" xfId="4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4" fontId="1" fillId="25" borderId="0" xfId="0" applyNumberFormat="1" applyFont="1" applyFill="1" applyAlignment="1">
      <alignment wrapText="1"/>
    </xf>
    <xf numFmtId="0" fontId="0" fillId="25" borderId="0" xfId="0" applyFill="1" applyAlignment="1">
      <alignment/>
    </xf>
    <xf numFmtId="0" fontId="3" fillId="0" borderId="3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eur-lex.europa.eu/LexUriServ/LexUriServ.do?uri=OJ:C:2012:326:0047:0390:FR:HTML" TargetMode="External" /><Relationship Id="rId3" Type="http://schemas.openxmlformats.org/officeDocument/2006/relationships/hyperlink" Target="mailto:ue@union-habitat.org?subject=Question%20test%20d'absence%20de%20surcompensation%20convention%20FEDER%20OHLM" TargetMode="External" /><Relationship Id="rId4" Type="http://schemas.openxmlformats.org/officeDocument/2006/relationships/hyperlink" Target="http://www.legifrance.gouv.fr/affichCode.do?cidTexte=LEGITEXT000006074096" TargetMode="External" /><Relationship Id="rId5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6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7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8" Type="http://schemas.openxmlformats.org/officeDocument/2006/relationships/hyperlink" Target="http://union-habitat.eu/?rubrique230" TargetMode="External" /><Relationship Id="rId9" Type="http://schemas.openxmlformats.org/officeDocument/2006/relationships/hyperlink" Target="http://www.union-habitat.eu/IMG/pdf/lola_note_tech_28_dec_2011.pdf" TargetMode="External" /><Relationship Id="rId10" Type="http://schemas.openxmlformats.org/officeDocument/2006/relationships/hyperlink" Target="http://www.union-habitat.eu/IMG/pdf/lola_note_tech_28_dec_2011.pdf" TargetMode="External" /><Relationship Id="rId11" Type="http://schemas.openxmlformats.org/officeDocument/2006/relationships/hyperlink" Target="http://www.union-habitat.eu/IMG/pdf/lola_note_tech_28_dec_2011.pdf" TargetMode="External" /><Relationship Id="rId12" Type="http://schemas.openxmlformats.org/officeDocument/2006/relationships/hyperlink" Target="http://www.union-habitat.eu/IMG/pdf/lola_note_tech_28_dec_2011.pdf" TargetMode="External" /><Relationship Id="rId13" Type="http://schemas.openxmlformats.org/officeDocument/2006/relationships/hyperlink" Target="http://www.union-habitat.eu/IMG/pdf/lola_note_tech_28_dec_2011.pdf" TargetMode="External" /><Relationship Id="rId14" Type="http://schemas.openxmlformats.org/officeDocument/2006/relationships/hyperlink" Target="http://www.union-habitat.eu/IMG/pdf/lola_note_tech_28_dec_2011.pdf" TargetMode="External" /><Relationship Id="rId15" Type="http://schemas.openxmlformats.org/officeDocument/2006/relationships/hyperlink" Target="http://www.union-habitat.eu/IMG/pdf/lola_note_tech_28_dec_2011.pdf" TargetMode="External" /><Relationship Id="rId16" Type="http://schemas.openxmlformats.org/officeDocument/2006/relationships/hyperlink" Target="http://www.union-habitat.eu/IMG/pdf/lola_note_tech_28_dec_2011.pdf" TargetMode="External" /><Relationship Id="rId17" Type="http://schemas.openxmlformats.org/officeDocument/2006/relationships/hyperlink" Target="http://www.union-habitat.eu/IMG/pdf/final_28_novembre_2005.pdf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6.57421875" style="0" customWidth="1"/>
    <col min="2" max="2" width="13.421875" style="0" customWidth="1"/>
    <col min="3" max="3" width="12.42187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2.421875" style="0" bestFit="1" customWidth="1"/>
    <col min="8" max="8" width="12.421875" style="0" customWidth="1"/>
    <col min="9" max="9" width="11.7109375" style="0" bestFit="1" customWidth="1"/>
    <col min="10" max="10" width="13.140625" style="0" bestFit="1" customWidth="1"/>
    <col min="11" max="11" width="13.00390625" style="0" bestFit="1" customWidth="1"/>
    <col min="12" max="12" width="11.7109375" style="0" bestFit="1" customWidth="1"/>
  </cols>
  <sheetData>
    <row r="1" s="1" customFormat="1" ht="10.5" thickBot="1">
      <c r="A1" s="1" t="s">
        <v>419</v>
      </c>
    </row>
    <row r="2" spans="1:11" ht="12.75">
      <c r="A2" s="498" t="s">
        <v>250</v>
      </c>
      <c r="B2" s="499"/>
      <c r="C2" s="499"/>
      <c r="D2" s="499"/>
      <c r="E2" s="499"/>
      <c r="F2" s="499"/>
      <c r="G2" s="499"/>
      <c r="H2" s="500"/>
      <c r="I2" s="500"/>
      <c r="J2" s="500"/>
      <c r="K2" s="501"/>
    </row>
    <row r="3" spans="1:11" ht="12.75">
      <c r="A3" s="245"/>
      <c r="B3" s="237"/>
      <c r="C3" s="237"/>
      <c r="D3" s="237"/>
      <c r="E3" s="246"/>
      <c r="F3" s="246"/>
      <c r="G3" s="246"/>
      <c r="H3" s="246"/>
      <c r="I3" s="246"/>
      <c r="J3" s="246"/>
      <c r="K3" s="247"/>
    </row>
    <row r="4" spans="1:11" s="5" customFormat="1" ht="13.5" thickBot="1">
      <c r="A4" s="502" t="s">
        <v>251</v>
      </c>
      <c r="B4" s="503"/>
      <c r="C4" s="503"/>
      <c r="D4" s="503"/>
      <c r="E4" s="503"/>
      <c r="F4" s="503"/>
      <c r="G4" s="503"/>
      <c r="H4" s="503"/>
      <c r="I4" s="503"/>
      <c r="J4" s="503"/>
      <c r="K4" s="504"/>
    </row>
    <row r="5" spans="1:3" s="5" customFormat="1" ht="12.75">
      <c r="A5" s="3"/>
      <c r="C5" s="5" t="s">
        <v>107</v>
      </c>
    </row>
    <row r="6" spans="1:7" s="5" customFormat="1" ht="9.75">
      <c r="A6" s="462" t="s">
        <v>382</v>
      </c>
      <c r="B6" s="4" t="s">
        <v>383</v>
      </c>
      <c r="C6" s="4"/>
      <c r="D6" s="4"/>
      <c r="E6" s="4"/>
      <c r="F6" s="4"/>
      <c r="G6" s="4"/>
    </row>
    <row r="7" spans="1:6" s="5" customFormat="1" ht="9.75">
      <c r="A7" s="462" t="s">
        <v>190</v>
      </c>
      <c r="B7" s="4" t="s">
        <v>384</v>
      </c>
      <c r="C7" s="4"/>
      <c r="D7" s="4"/>
      <c r="E7" s="4"/>
      <c r="F7" s="4"/>
    </row>
    <row r="8" spans="1:5" s="5" customFormat="1" ht="9.75">
      <c r="A8" s="462" t="s">
        <v>191</v>
      </c>
      <c r="B8" s="4" t="s">
        <v>385</v>
      </c>
      <c r="C8" s="4"/>
      <c r="D8" s="4"/>
      <c r="E8" s="4"/>
    </row>
    <row r="9" s="5" customFormat="1" ht="12.75">
      <c r="A9" s="3"/>
    </row>
    <row r="10" s="5" customFormat="1" ht="12.75">
      <c r="A10" s="3" t="s">
        <v>12</v>
      </c>
    </row>
    <row r="11" s="5" customFormat="1" ht="9.75"/>
    <row r="12" spans="1:4" s="5" customFormat="1" ht="12.75">
      <c r="A12" s="3"/>
      <c r="B12" s="5" t="s">
        <v>173</v>
      </c>
      <c r="C12" s="402" t="s">
        <v>175</v>
      </c>
      <c r="D12" s="5" t="s">
        <v>205</v>
      </c>
    </row>
    <row r="13" spans="3:4" s="260" customFormat="1" ht="9.75">
      <c r="C13" s="261"/>
      <c r="D13" s="110" t="s">
        <v>106</v>
      </c>
    </row>
    <row r="14" spans="3:4" s="4" customFormat="1" ht="9.75">
      <c r="C14" s="261"/>
      <c r="D14" s="4" t="s">
        <v>104</v>
      </c>
    </row>
    <row r="15" spans="3:4" s="4" customFormat="1" ht="9.75">
      <c r="C15" s="261"/>
      <c r="D15" s="4" t="s">
        <v>105</v>
      </c>
    </row>
    <row r="16" s="4" customFormat="1" ht="9.75">
      <c r="C16" s="261"/>
    </row>
    <row r="17" spans="1:4" s="5" customFormat="1" ht="12.75">
      <c r="A17" s="157"/>
      <c r="B17" s="5" t="s">
        <v>174</v>
      </c>
      <c r="C17" s="158" t="s">
        <v>151</v>
      </c>
      <c r="D17" s="5" t="s">
        <v>103</v>
      </c>
    </row>
    <row r="18" spans="1:4" s="5" customFormat="1" ht="12.75">
      <c r="A18" s="157"/>
      <c r="C18" s="158"/>
      <c r="D18" s="4" t="s">
        <v>54</v>
      </c>
    </row>
    <row r="19" spans="1:4" s="5" customFormat="1" ht="12.75">
      <c r="A19" s="157"/>
      <c r="C19" s="391" t="s">
        <v>102</v>
      </c>
      <c r="D19" s="5" t="s">
        <v>231</v>
      </c>
    </row>
    <row r="20" spans="1:3" s="5" customFormat="1" ht="12.75">
      <c r="A20" s="157"/>
      <c r="C20" s="158"/>
    </row>
    <row r="21" spans="1:3" s="5" customFormat="1" ht="12.75">
      <c r="A21" s="157"/>
      <c r="B21" s="5" t="s">
        <v>222</v>
      </c>
      <c r="C21" s="158"/>
    </row>
    <row r="22" spans="1:7" s="5" customFormat="1" ht="12.75">
      <c r="A22" s="157"/>
      <c r="C22" s="4" t="s">
        <v>150</v>
      </c>
      <c r="D22" s="4" t="s">
        <v>206</v>
      </c>
      <c r="E22" s="4"/>
      <c r="F22" s="4"/>
      <c r="G22" s="4"/>
    </row>
    <row r="23" spans="1:7" s="5" customFormat="1" ht="12.75">
      <c r="A23" s="157"/>
      <c r="B23" s="5" t="s">
        <v>107</v>
      </c>
      <c r="C23" s="4" t="s">
        <v>148</v>
      </c>
      <c r="D23" s="4" t="s">
        <v>410</v>
      </c>
      <c r="E23" s="4"/>
      <c r="F23" s="4"/>
      <c r="G23" s="4"/>
    </row>
    <row r="24" spans="1:7" s="5" customFormat="1" ht="12.75">
      <c r="A24" s="157" t="s">
        <v>107</v>
      </c>
      <c r="C24" s="4" t="s">
        <v>149</v>
      </c>
      <c r="D24" s="4" t="s">
        <v>216</v>
      </c>
      <c r="E24" s="4"/>
      <c r="F24" s="4"/>
      <c r="G24" s="4"/>
    </row>
    <row r="25" spans="1:7" s="5" customFormat="1" ht="12.75">
      <c r="A25" s="157"/>
      <c r="C25" s="4" t="s">
        <v>158</v>
      </c>
      <c r="D25" s="4" t="s">
        <v>159</v>
      </c>
      <c r="E25" s="4"/>
      <c r="F25" s="4"/>
      <c r="G25" s="4"/>
    </row>
    <row r="26" spans="1:7" s="5" customFormat="1" ht="12.75">
      <c r="A26" s="157"/>
      <c r="C26" s="4" t="s">
        <v>154</v>
      </c>
      <c r="D26" s="4" t="s">
        <v>161</v>
      </c>
      <c r="E26" s="4"/>
      <c r="F26" s="4"/>
      <c r="G26" s="4"/>
    </row>
    <row r="27" spans="1:7" s="5" customFormat="1" ht="12.75">
      <c r="A27" s="157"/>
      <c r="C27" s="4"/>
      <c r="D27" s="4"/>
      <c r="E27" s="4"/>
      <c r="F27" s="4"/>
      <c r="G27" s="4"/>
    </row>
    <row r="28" spans="1:7" s="5" customFormat="1" ht="12.75">
      <c r="A28" s="157"/>
      <c r="B28" s="5" t="s">
        <v>373</v>
      </c>
      <c r="C28" s="4"/>
      <c r="D28" s="4"/>
      <c r="E28" s="4"/>
      <c r="F28" s="4"/>
      <c r="G28" s="4"/>
    </row>
    <row r="29" spans="1:8" s="5" customFormat="1" ht="12.75">
      <c r="A29" s="157"/>
      <c r="B29" s="5" t="s">
        <v>107</v>
      </c>
      <c r="C29" s="234" t="s">
        <v>195</v>
      </c>
      <c r="D29" s="4" t="s">
        <v>372</v>
      </c>
      <c r="E29" s="4"/>
      <c r="F29" s="4"/>
      <c r="G29" s="4"/>
      <c r="H29" s="4"/>
    </row>
    <row r="30" spans="1:8" s="5" customFormat="1" ht="12.75">
      <c r="A30" s="157"/>
      <c r="C30" s="234" t="s">
        <v>200</v>
      </c>
      <c r="D30" s="4" t="s">
        <v>202</v>
      </c>
      <c r="E30" s="4"/>
      <c r="F30" s="4"/>
      <c r="G30" s="4"/>
      <c r="H30" s="4"/>
    </row>
    <row r="31" spans="1:8" s="5" customFormat="1" ht="12.75">
      <c r="A31" s="157"/>
      <c r="C31" s="234" t="s">
        <v>198</v>
      </c>
      <c r="D31" s="4" t="s">
        <v>201</v>
      </c>
      <c r="E31" s="4"/>
      <c r="F31" s="4"/>
      <c r="G31" s="4"/>
      <c r="H31" s="4"/>
    </row>
    <row r="32" spans="1:8" s="5" customFormat="1" ht="12.75">
      <c r="A32" s="157"/>
      <c r="C32" s="234" t="s">
        <v>199</v>
      </c>
      <c r="D32" s="4" t="s">
        <v>208</v>
      </c>
      <c r="E32" s="4"/>
      <c r="F32" s="4"/>
      <c r="G32" s="4"/>
      <c r="H32" s="4"/>
    </row>
    <row r="33" spans="1:6" s="5" customFormat="1" ht="12.75">
      <c r="A33" s="157"/>
      <c r="C33" s="234" t="s">
        <v>225</v>
      </c>
      <c r="D33" s="4" t="s">
        <v>101</v>
      </c>
      <c r="E33" s="4"/>
      <c r="F33" s="4"/>
    </row>
    <row r="34" spans="1:7" s="5" customFormat="1" ht="12.75">
      <c r="A34" s="3"/>
      <c r="C34" s="4"/>
      <c r="D34" s="4"/>
      <c r="E34" s="4"/>
      <c r="F34" s="4"/>
      <c r="G34" s="4"/>
    </row>
    <row r="35" spans="1:7" s="5" customFormat="1" ht="12.75">
      <c r="A35" s="3" t="s">
        <v>309</v>
      </c>
      <c r="C35" s="4"/>
      <c r="D35" s="4"/>
      <c r="E35" s="4"/>
      <c r="F35" s="4"/>
      <c r="G35" s="4"/>
    </row>
    <row r="36" spans="1:9" s="5" customFormat="1" ht="12.75">
      <c r="A36" s="3"/>
      <c r="B36" s="4" t="s">
        <v>310</v>
      </c>
      <c r="C36" s="4"/>
      <c r="D36" s="4"/>
      <c r="E36" s="4"/>
      <c r="F36" s="4"/>
      <c r="G36" s="4"/>
      <c r="H36" s="4"/>
      <c r="I36" s="4"/>
    </row>
    <row r="37" spans="1:9" s="5" customFormat="1" ht="12.75">
      <c r="A37" s="3"/>
      <c r="B37" s="4" t="s">
        <v>308</v>
      </c>
      <c r="C37" s="4"/>
      <c r="D37" s="4"/>
      <c r="E37" s="4"/>
      <c r="F37" s="4"/>
      <c r="G37" s="4"/>
      <c r="H37" s="4"/>
      <c r="I37" s="4"/>
    </row>
    <row r="38" spans="1:9" s="5" customFormat="1" ht="12.75">
      <c r="A38" s="3"/>
      <c r="B38" s="4"/>
      <c r="C38" s="4" t="s">
        <v>311</v>
      </c>
      <c r="D38" s="4"/>
      <c r="E38" s="4"/>
      <c r="F38" s="4"/>
      <c r="G38" s="4"/>
      <c r="H38" s="4"/>
      <c r="I38" s="4"/>
    </row>
    <row r="39" spans="1:9" s="5" customFormat="1" ht="12.75">
      <c r="A39" s="3"/>
      <c r="B39" s="4"/>
      <c r="C39" s="4" t="s">
        <v>374</v>
      </c>
      <c r="D39" s="4"/>
      <c r="E39" s="4"/>
      <c r="F39" s="4"/>
      <c r="G39" s="4"/>
      <c r="H39" s="4"/>
      <c r="I39" s="4"/>
    </row>
    <row r="40" spans="1:9" s="5" customFormat="1" ht="12.75">
      <c r="A40" s="3"/>
      <c r="B40" s="4"/>
      <c r="C40" s="4" t="s">
        <v>312</v>
      </c>
      <c r="D40" s="4"/>
      <c r="E40" s="4"/>
      <c r="F40" s="4"/>
      <c r="G40" s="4"/>
      <c r="H40" s="4"/>
      <c r="I40" s="4"/>
    </row>
    <row r="41" spans="1:9" s="5" customFormat="1" ht="12.75">
      <c r="A41" s="3"/>
      <c r="B41" s="4"/>
      <c r="C41" s="4" t="s">
        <v>313</v>
      </c>
      <c r="D41" s="4"/>
      <c r="E41" s="4"/>
      <c r="F41" s="4"/>
      <c r="G41" s="4"/>
      <c r="H41" s="4"/>
      <c r="I41" s="4"/>
    </row>
    <row r="42" spans="1:9" s="5" customFormat="1" ht="12.75">
      <c r="A42" s="3"/>
      <c r="B42" s="4"/>
      <c r="C42" s="4" t="s">
        <v>314</v>
      </c>
      <c r="D42" s="4"/>
      <c r="E42" s="4"/>
      <c r="F42" s="4"/>
      <c r="G42" s="4"/>
      <c r="H42" s="4"/>
      <c r="I42" s="4"/>
    </row>
    <row r="43" spans="1:9" s="5" customFormat="1" ht="12.75">
      <c r="A43" s="3"/>
      <c r="B43" s="4"/>
      <c r="C43" s="4" t="s">
        <v>315</v>
      </c>
      <c r="D43" s="4"/>
      <c r="E43" s="4"/>
      <c r="F43" s="4"/>
      <c r="G43" s="4"/>
      <c r="H43" s="4"/>
      <c r="I43" s="4"/>
    </row>
    <row r="44" spans="1:9" s="5" customFormat="1" ht="12.75">
      <c r="A44" s="3"/>
      <c r="B44" s="4" t="s">
        <v>13</v>
      </c>
      <c r="C44" s="4"/>
      <c r="D44" s="4"/>
      <c r="E44" s="4"/>
      <c r="F44" s="4"/>
      <c r="G44" s="4"/>
      <c r="H44" s="4"/>
      <c r="I44" s="4"/>
    </row>
    <row r="45" spans="1:9" s="5" customFormat="1" ht="12.75">
      <c r="A45" s="3"/>
      <c r="B45" s="4" t="s">
        <v>307</v>
      </c>
      <c r="C45" s="4"/>
      <c r="D45" s="4"/>
      <c r="E45" s="4"/>
      <c r="F45" s="4"/>
      <c r="G45" s="4"/>
      <c r="H45" s="4"/>
      <c r="I45" s="4"/>
    </row>
    <row r="46" spans="1:9" s="5" customFormat="1" ht="12.75">
      <c r="A46" s="3"/>
      <c r="B46" s="4"/>
      <c r="C46" s="4"/>
      <c r="D46" s="4"/>
      <c r="E46" s="4"/>
      <c r="F46" s="4"/>
      <c r="G46" s="4"/>
      <c r="H46" s="4"/>
      <c r="I46" s="4"/>
    </row>
    <row r="47" s="4" customFormat="1" ht="12.75">
      <c r="A47" s="3" t="s">
        <v>375</v>
      </c>
    </row>
    <row r="48" spans="1:11" s="3" customFormat="1" ht="12.75">
      <c r="A48" s="3" t="s">
        <v>107</v>
      </c>
      <c r="B48" s="238"/>
      <c r="C48" s="487" t="s">
        <v>316</v>
      </c>
      <c r="D48" s="506"/>
      <c r="E48" s="506"/>
      <c r="F48" s="506"/>
      <c r="G48" s="506"/>
      <c r="H48" s="506"/>
      <c r="I48" s="506"/>
      <c r="J48" s="506"/>
      <c r="K48" s="506"/>
    </row>
    <row r="49" spans="3:14" s="3" customFormat="1" ht="12.75">
      <c r="C49" s="487" t="s">
        <v>207</v>
      </c>
      <c r="D49" s="506"/>
      <c r="E49" s="506"/>
      <c r="F49" s="506"/>
      <c r="G49" s="506"/>
      <c r="H49" s="506"/>
      <c r="I49" s="506"/>
      <c r="J49" s="506"/>
      <c r="K49" s="506"/>
      <c r="N49" s="25"/>
    </row>
    <row r="50" spans="2:6" s="3" customFormat="1" ht="12.75">
      <c r="B50" s="18"/>
      <c r="C50" s="4" t="s">
        <v>363</v>
      </c>
      <c r="E50" s="25"/>
      <c r="F50" s="4" t="s">
        <v>107</v>
      </c>
    </row>
    <row r="51" spans="2:11" s="3" customFormat="1" ht="12.75">
      <c r="B51" s="239" t="s">
        <v>117</v>
      </c>
      <c r="C51" s="481" t="s">
        <v>81</v>
      </c>
      <c r="D51" s="506"/>
      <c r="E51" s="506"/>
      <c r="F51" s="506"/>
      <c r="G51" s="506"/>
      <c r="H51" s="506"/>
      <c r="I51" s="506"/>
      <c r="J51" s="506"/>
      <c r="K51" s="506"/>
    </row>
    <row r="52" spans="2:11" s="3" customFormat="1" ht="12.75">
      <c r="B52" s="243" t="s">
        <v>209</v>
      </c>
      <c r="C52" s="28" t="s">
        <v>376</v>
      </c>
      <c r="D52" s="236"/>
      <c r="E52" s="236"/>
      <c r="F52" s="236"/>
      <c r="G52" s="236"/>
      <c r="H52" s="236"/>
      <c r="I52" s="236"/>
      <c r="J52" s="236"/>
      <c r="K52" s="236"/>
    </row>
    <row r="53" spans="2:11" s="4" customFormat="1" ht="9.75">
      <c r="B53" s="4" t="s">
        <v>190</v>
      </c>
      <c r="C53" s="28" t="s">
        <v>98</v>
      </c>
      <c r="D53" s="152"/>
      <c r="E53" s="152"/>
      <c r="F53" s="152"/>
      <c r="G53" s="152"/>
      <c r="H53" s="152"/>
      <c r="I53" s="152"/>
      <c r="J53" s="152"/>
      <c r="K53" s="152"/>
    </row>
    <row r="54" spans="2:11" s="4" customFormat="1" ht="9.75">
      <c r="B54" s="4" t="s">
        <v>191</v>
      </c>
      <c r="C54" s="28" t="s">
        <v>93</v>
      </c>
      <c r="D54" s="152"/>
      <c r="E54" s="152"/>
      <c r="F54" s="152"/>
      <c r="G54" s="152"/>
      <c r="H54" s="152"/>
      <c r="I54" s="152"/>
      <c r="J54" s="152"/>
      <c r="K54" s="152"/>
    </row>
    <row r="55" spans="3:11" s="4" customFormat="1" ht="9.75">
      <c r="C55" s="28"/>
      <c r="D55" s="152"/>
      <c r="E55" s="152"/>
      <c r="F55" s="152"/>
      <c r="G55" s="152"/>
      <c r="H55" s="152"/>
      <c r="I55" s="152"/>
      <c r="J55" s="152"/>
      <c r="K55" s="152"/>
    </row>
    <row r="56" spans="1:256" s="4" customFormat="1" ht="12.75">
      <c r="A56" s="3" t="s">
        <v>55</v>
      </c>
      <c r="B56" s="3"/>
      <c r="C56" s="408"/>
      <c r="D56" s="409"/>
      <c r="E56" s="152"/>
      <c r="F56" s="152"/>
      <c r="G56" s="152"/>
      <c r="H56" s="152"/>
      <c r="I56" s="5" t="s">
        <v>107</v>
      </c>
      <c r="J56" s="5"/>
      <c r="K56" s="404"/>
      <c r="L56" s="152"/>
      <c r="M56" s="152"/>
      <c r="N56" s="152"/>
      <c r="O56" s="152"/>
      <c r="P56" s="152"/>
      <c r="Q56" s="5" t="s">
        <v>55</v>
      </c>
      <c r="R56" s="5"/>
      <c r="S56" s="404"/>
      <c r="T56" s="152"/>
      <c r="U56" s="152"/>
      <c r="V56" s="152"/>
      <c r="W56" s="152"/>
      <c r="X56" s="152"/>
      <c r="Y56" s="5" t="s">
        <v>55</v>
      </c>
      <c r="Z56" s="5"/>
      <c r="AA56" s="404"/>
      <c r="AB56" s="152"/>
      <c r="AC56" s="152"/>
      <c r="AD56" s="152"/>
      <c r="AE56" s="152"/>
      <c r="AF56" s="152"/>
      <c r="AG56" s="5" t="s">
        <v>55</v>
      </c>
      <c r="AH56" s="5"/>
      <c r="AI56" s="404"/>
      <c r="AJ56" s="152"/>
      <c r="AK56" s="152"/>
      <c r="AL56" s="152"/>
      <c r="AM56" s="152"/>
      <c r="AN56" s="152"/>
      <c r="AO56" s="5" t="s">
        <v>55</v>
      </c>
      <c r="AP56" s="5"/>
      <c r="AQ56" s="404"/>
      <c r="AR56" s="152"/>
      <c r="AS56" s="152"/>
      <c r="AT56" s="152"/>
      <c r="AU56" s="152"/>
      <c r="AV56" s="152"/>
      <c r="AW56" s="5" t="s">
        <v>55</v>
      </c>
      <c r="AX56" s="5"/>
      <c r="AY56" s="404"/>
      <c r="AZ56" s="152"/>
      <c r="BA56" s="152"/>
      <c r="BB56" s="152"/>
      <c r="BC56" s="152"/>
      <c r="BD56" s="152"/>
      <c r="BE56" s="5" t="s">
        <v>55</v>
      </c>
      <c r="BF56" s="5"/>
      <c r="BG56" s="404"/>
      <c r="BH56" s="152"/>
      <c r="BI56" s="152"/>
      <c r="BJ56" s="152"/>
      <c r="BK56" s="152"/>
      <c r="BL56" s="152"/>
      <c r="BM56" s="5" t="s">
        <v>55</v>
      </c>
      <c r="BN56" s="5"/>
      <c r="BO56" s="404"/>
      <c r="BP56" s="152"/>
      <c r="BQ56" s="152"/>
      <c r="BR56" s="152"/>
      <c r="BS56" s="152"/>
      <c r="BT56" s="152"/>
      <c r="BU56" s="5" t="s">
        <v>55</v>
      </c>
      <c r="BV56" s="5"/>
      <c r="BW56" s="404"/>
      <c r="BX56" s="152"/>
      <c r="BY56" s="152"/>
      <c r="BZ56" s="152"/>
      <c r="CA56" s="152"/>
      <c r="CB56" s="152"/>
      <c r="CC56" s="5" t="s">
        <v>55</v>
      </c>
      <c r="CD56" s="5"/>
      <c r="CE56" s="404"/>
      <c r="CF56" s="152"/>
      <c r="CG56" s="152"/>
      <c r="CH56" s="152"/>
      <c r="CI56" s="152"/>
      <c r="CJ56" s="152"/>
      <c r="CK56" s="5" t="s">
        <v>55</v>
      </c>
      <c r="CL56" s="5"/>
      <c r="CM56" s="404"/>
      <c r="CN56" s="152"/>
      <c r="CO56" s="152"/>
      <c r="CP56" s="152"/>
      <c r="CQ56" s="152"/>
      <c r="CR56" s="152"/>
      <c r="CS56" s="5" t="s">
        <v>55</v>
      </c>
      <c r="CT56" s="5"/>
      <c r="CU56" s="404"/>
      <c r="CV56" s="152"/>
      <c r="CW56" s="152"/>
      <c r="CX56" s="152"/>
      <c r="CY56" s="152"/>
      <c r="CZ56" s="152"/>
      <c r="DA56" s="5" t="s">
        <v>55</v>
      </c>
      <c r="DB56" s="5"/>
      <c r="DC56" s="404"/>
      <c r="DD56" s="152"/>
      <c r="DE56" s="152"/>
      <c r="DF56" s="152"/>
      <c r="DG56" s="152"/>
      <c r="DH56" s="152"/>
      <c r="DI56" s="5" t="s">
        <v>55</v>
      </c>
      <c r="DJ56" s="5"/>
      <c r="DK56" s="404"/>
      <c r="DL56" s="152"/>
      <c r="DM56" s="152"/>
      <c r="DN56" s="152"/>
      <c r="DO56" s="152"/>
      <c r="DP56" s="152"/>
      <c r="DQ56" s="5" t="s">
        <v>55</v>
      </c>
      <c r="DR56" s="5"/>
      <c r="DS56" s="404"/>
      <c r="DT56" s="152"/>
      <c r="DU56" s="152"/>
      <c r="DV56" s="152"/>
      <c r="DW56" s="152"/>
      <c r="DX56" s="152"/>
      <c r="DY56" s="5" t="s">
        <v>55</v>
      </c>
      <c r="DZ56" s="5"/>
      <c r="EA56" s="404"/>
      <c r="EB56" s="152"/>
      <c r="EC56" s="152"/>
      <c r="ED56" s="152"/>
      <c r="EE56" s="152"/>
      <c r="EF56" s="152"/>
      <c r="EG56" s="5" t="s">
        <v>55</v>
      </c>
      <c r="EH56" s="5"/>
      <c r="EI56" s="404"/>
      <c r="EJ56" s="152"/>
      <c r="EK56" s="152"/>
      <c r="EL56" s="152"/>
      <c r="EM56" s="152"/>
      <c r="EN56" s="152"/>
      <c r="EO56" s="5" t="s">
        <v>55</v>
      </c>
      <c r="EP56" s="5"/>
      <c r="EQ56" s="404"/>
      <c r="ER56" s="152"/>
      <c r="ES56" s="152"/>
      <c r="ET56" s="152"/>
      <c r="EU56" s="152"/>
      <c r="EV56" s="152"/>
      <c r="EW56" s="5" t="s">
        <v>55</v>
      </c>
      <c r="EX56" s="5"/>
      <c r="EY56" s="404"/>
      <c r="EZ56" s="152"/>
      <c r="FA56" s="152"/>
      <c r="FB56" s="152"/>
      <c r="FC56" s="152"/>
      <c r="FD56" s="152"/>
      <c r="FE56" s="5" t="s">
        <v>55</v>
      </c>
      <c r="FF56" s="5"/>
      <c r="FG56" s="404"/>
      <c r="FH56" s="152"/>
      <c r="FI56" s="152"/>
      <c r="FJ56" s="152"/>
      <c r="FK56" s="152"/>
      <c r="FL56" s="152"/>
      <c r="FM56" s="5" t="s">
        <v>55</v>
      </c>
      <c r="FN56" s="5"/>
      <c r="FO56" s="404"/>
      <c r="FP56" s="152"/>
      <c r="FQ56" s="152"/>
      <c r="FR56" s="152"/>
      <c r="FS56" s="152"/>
      <c r="FT56" s="152"/>
      <c r="FU56" s="5" t="s">
        <v>55</v>
      </c>
      <c r="FV56" s="5"/>
      <c r="FW56" s="404"/>
      <c r="FX56" s="152"/>
      <c r="FY56" s="152"/>
      <c r="FZ56" s="152"/>
      <c r="GA56" s="152"/>
      <c r="GB56" s="152"/>
      <c r="GC56" s="5" t="s">
        <v>55</v>
      </c>
      <c r="GD56" s="5"/>
      <c r="GE56" s="404"/>
      <c r="GF56" s="152"/>
      <c r="GG56" s="152"/>
      <c r="GH56" s="152"/>
      <c r="GI56" s="152"/>
      <c r="GJ56" s="152"/>
      <c r="GK56" s="5" t="s">
        <v>55</v>
      </c>
      <c r="GL56" s="5"/>
      <c r="GM56" s="404"/>
      <c r="GN56" s="152"/>
      <c r="GO56" s="152"/>
      <c r="GP56" s="152"/>
      <c r="GQ56" s="152"/>
      <c r="GR56" s="152"/>
      <c r="GS56" s="5" t="s">
        <v>55</v>
      </c>
      <c r="GT56" s="5"/>
      <c r="GU56" s="404"/>
      <c r="GV56" s="152"/>
      <c r="GW56" s="152"/>
      <c r="GX56" s="152"/>
      <c r="GY56" s="152"/>
      <c r="GZ56" s="152"/>
      <c r="HA56" s="5" t="s">
        <v>55</v>
      </c>
      <c r="HB56" s="5"/>
      <c r="HC56" s="404"/>
      <c r="HD56" s="152"/>
      <c r="HE56" s="152"/>
      <c r="HF56" s="152"/>
      <c r="HG56" s="152"/>
      <c r="HH56" s="152"/>
      <c r="HI56" s="5" t="s">
        <v>55</v>
      </c>
      <c r="HJ56" s="5"/>
      <c r="HK56" s="404"/>
      <c r="HL56" s="152"/>
      <c r="HM56" s="152"/>
      <c r="HN56" s="152"/>
      <c r="HO56" s="152"/>
      <c r="HP56" s="152"/>
      <c r="HQ56" s="5" t="s">
        <v>55</v>
      </c>
      <c r="HR56" s="5"/>
      <c r="HS56" s="404"/>
      <c r="HT56" s="152"/>
      <c r="HU56" s="152"/>
      <c r="HV56" s="152"/>
      <c r="HW56" s="152"/>
      <c r="HX56" s="152"/>
      <c r="HY56" s="5" t="s">
        <v>55</v>
      </c>
      <c r="HZ56" s="5"/>
      <c r="IA56" s="404"/>
      <c r="IB56" s="152"/>
      <c r="IC56" s="152"/>
      <c r="ID56" s="152"/>
      <c r="IE56" s="152"/>
      <c r="IF56" s="152"/>
      <c r="IG56" s="5" t="s">
        <v>55</v>
      </c>
      <c r="IH56" s="5"/>
      <c r="II56" s="404"/>
      <c r="IJ56" s="152"/>
      <c r="IK56" s="152"/>
      <c r="IL56" s="152"/>
      <c r="IM56" s="152"/>
      <c r="IN56" s="152"/>
      <c r="IO56" s="5" t="s">
        <v>55</v>
      </c>
      <c r="IP56" s="5"/>
      <c r="IQ56" s="404"/>
      <c r="IR56" s="152"/>
      <c r="IS56" s="152"/>
      <c r="IT56" s="152"/>
      <c r="IU56" s="152"/>
      <c r="IV56" s="152"/>
    </row>
    <row r="57" spans="1:256" s="3" customFormat="1" ht="12.75">
      <c r="A57" s="4"/>
      <c r="B57" s="4" t="s">
        <v>56</v>
      </c>
      <c r="C57" s="28"/>
      <c r="D57" s="152"/>
      <c r="E57" s="152"/>
      <c r="F57" s="152"/>
      <c r="G57" s="152"/>
      <c r="H57" s="152"/>
      <c r="I57" s="4"/>
      <c r="J57" s="4" t="s">
        <v>107</v>
      </c>
      <c r="K57" s="28"/>
      <c r="L57" s="152"/>
      <c r="M57" s="152"/>
      <c r="N57" s="152"/>
      <c r="O57" s="152"/>
      <c r="P57" s="152"/>
      <c r="Q57" s="4"/>
      <c r="R57" s="4" t="s">
        <v>56</v>
      </c>
      <c r="S57" s="28"/>
      <c r="T57" s="152"/>
      <c r="U57" s="152"/>
      <c r="V57" s="152"/>
      <c r="W57" s="152"/>
      <c r="X57" s="152"/>
      <c r="Y57" s="4"/>
      <c r="Z57" s="4" t="s">
        <v>56</v>
      </c>
      <c r="AA57" s="28"/>
      <c r="AB57" s="152"/>
      <c r="AC57" s="152"/>
      <c r="AD57" s="152"/>
      <c r="AE57" s="152"/>
      <c r="AF57" s="152"/>
      <c r="AG57" s="4"/>
      <c r="AH57" s="4" t="s">
        <v>56</v>
      </c>
      <c r="AI57" s="28"/>
      <c r="AJ57" s="152"/>
      <c r="AK57" s="152"/>
      <c r="AL57" s="152"/>
      <c r="AM57" s="152"/>
      <c r="AN57" s="152"/>
      <c r="AO57" s="4"/>
      <c r="AP57" s="4" t="s">
        <v>56</v>
      </c>
      <c r="AQ57" s="28"/>
      <c r="AR57" s="152"/>
      <c r="AS57" s="152"/>
      <c r="AT57" s="152"/>
      <c r="AU57" s="152"/>
      <c r="AV57" s="152"/>
      <c r="AW57" s="4"/>
      <c r="AX57" s="4" t="s">
        <v>56</v>
      </c>
      <c r="AY57" s="28"/>
      <c r="AZ57" s="152"/>
      <c r="BA57" s="152"/>
      <c r="BB57" s="152"/>
      <c r="BC57" s="152"/>
      <c r="BD57" s="152"/>
      <c r="BE57" s="4"/>
      <c r="BF57" s="4" t="s">
        <v>56</v>
      </c>
      <c r="BG57" s="28"/>
      <c r="BH57" s="152"/>
      <c r="BI57" s="152"/>
      <c r="BJ57" s="152"/>
      <c r="BK57" s="152"/>
      <c r="BL57" s="152"/>
      <c r="BM57" s="4"/>
      <c r="BN57" s="4" t="s">
        <v>56</v>
      </c>
      <c r="BO57" s="28"/>
      <c r="BP57" s="152"/>
      <c r="BQ57" s="152"/>
      <c r="BR57" s="152"/>
      <c r="BS57" s="152"/>
      <c r="BT57" s="152"/>
      <c r="BU57" s="4"/>
      <c r="BV57" s="4" t="s">
        <v>56</v>
      </c>
      <c r="BW57" s="28"/>
      <c r="BX57" s="152"/>
      <c r="BY57" s="152"/>
      <c r="BZ57" s="152"/>
      <c r="CA57" s="152"/>
      <c r="CB57" s="152"/>
      <c r="CC57" s="4"/>
      <c r="CD57" s="4" t="s">
        <v>56</v>
      </c>
      <c r="CE57" s="28"/>
      <c r="CF57" s="152"/>
      <c r="CG57" s="152"/>
      <c r="CH57" s="152"/>
      <c r="CI57" s="152"/>
      <c r="CJ57" s="152"/>
      <c r="CK57" s="4"/>
      <c r="CL57" s="4" t="s">
        <v>56</v>
      </c>
      <c r="CM57" s="28"/>
      <c r="CN57" s="152"/>
      <c r="CO57" s="152"/>
      <c r="CP57" s="152"/>
      <c r="CQ57" s="152"/>
      <c r="CR57" s="152"/>
      <c r="CS57" s="4"/>
      <c r="CT57" s="4" t="s">
        <v>56</v>
      </c>
      <c r="CU57" s="28"/>
      <c r="CV57" s="152"/>
      <c r="CW57" s="152"/>
      <c r="CX57" s="152"/>
      <c r="CY57" s="152"/>
      <c r="CZ57" s="152"/>
      <c r="DA57" s="4"/>
      <c r="DB57" s="4" t="s">
        <v>56</v>
      </c>
      <c r="DC57" s="28"/>
      <c r="DD57" s="152"/>
      <c r="DE57" s="152"/>
      <c r="DF57" s="152"/>
      <c r="DG57" s="152"/>
      <c r="DH57" s="152"/>
      <c r="DI57" s="4"/>
      <c r="DJ57" s="4" t="s">
        <v>56</v>
      </c>
      <c r="DK57" s="28"/>
      <c r="DL57" s="152"/>
      <c r="DM57" s="152"/>
      <c r="DN57" s="152"/>
      <c r="DO57" s="152"/>
      <c r="DP57" s="152"/>
      <c r="DQ57" s="4"/>
      <c r="DR57" s="4" t="s">
        <v>56</v>
      </c>
      <c r="DS57" s="28"/>
      <c r="DT57" s="152"/>
      <c r="DU57" s="152"/>
      <c r="DV57" s="152"/>
      <c r="DW57" s="152"/>
      <c r="DX57" s="152"/>
      <c r="DY57" s="4"/>
      <c r="DZ57" s="4" t="s">
        <v>56</v>
      </c>
      <c r="EA57" s="28"/>
      <c r="EB57" s="152"/>
      <c r="EC57" s="152"/>
      <c r="ED57" s="152"/>
      <c r="EE57" s="152"/>
      <c r="EF57" s="152"/>
      <c r="EG57" s="4"/>
      <c r="EH57" s="4" t="s">
        <v>56</v>
      </c>
      <c r="EI57" s="28"/>
      <c r="EJ57" s="152"/>
      <c r="EK57" s="152"/>
      <c r="EL57" s="152"/>
      <c r="EM57" s="152"/>
      <c r="EN57" s="152"/>
      <c r="EO57" s="4"/>
      <c r="EP57" s="4" t="s">
        <v>56</v>
      </c>
      <c r="EQ57" s="28"/>
      <c r="ER57" s="152"/>
      <c r="ES57" s="152"/>
      <c r="ET57" s="152"/>
      <c r="EU57" s="152"/>
      <c r="EV57" s="152"/>
      <c r="EW57" s="4"/>
      <c r="EX57" s="4" t="s">
        <v>56</v>
      </c>
      <c r="EY57" s="28"/>
      <c r="EZ57" s="152"/>
      <c r="FA57" s="152"/>
      <c r="FB57" s="152"/>
      <c r="FC57" s="152"/>
      <c r="FD57" s="152"/>
      <c r="FE57" s="4"/>
      <c r="FF57" s="4" t="s">
        <v>56</v>
      </c>
      <c r="FG57" s="28"/>
      <c r="FH57" s="152"/>
      <c r="FI57" s="152"/>
      <c r="FJ57" s="152"/>
      <c r="FK57" s="152"/>
      <c r="FL57" s="152"/>
      <c r="FM57" s="4"/>
      <c r="FN57" s="4" t="s">
        <v>56</v>
      </c>
      <c r="FO57" s="28"/>
      <c r="FP57" s="152"/>
      <c r="FQ57" s="152"/>
      <c r="FR57" s="152"/>
      <c r="FS57" s="152"/>
      <c r="FT57" s="152"/>
      <c r="FU57" s="4"/>
      <c r="FV57" s="4" t="s">
        <v>56</v>
      </c>
      <c r="FW57" s="28"/>
      <c r="FX57" s="152"/>
      <c r="FY57" s="152"/>
      <c r="FZ57" s="152"/>
      <c r="GA57" s="152"/>
      <c r="GB57" s="152"/>
      <c r="GC57" s="4"/>
      <c r="GD57" s="4" t="s">
        <v>56</v>
      </c>
      <c r="GE57" s="28"/>
      <c r="GF57" s="152"/>
      <c r="GG57" s="152"/>
      <c r="GH57" s="152"/>
      <c r="GI57" s="152"/>
      <c r="GJ57" s="152"/>
      <c r="GK57" s="4"/>
      <c r="GL57" s="4" t="s">
        <v>56</v>
      </c>
      <c r="GM57" s="28"/>
      <c r="GN57" s="152"/>
      <c r="GO57" s="152"/>
      <c r="GP57" s="152"/>
      <c r="GQ57" s="152"/>
      <c r="GR57" s="152"/>
      <c r="GS57" s="4"/>
      <c r="GT57" s="4" t="s">
        <v>56</v>
      </c>
      <c r="GU57" s="28"/>
      <c r="GV57" s="152"/>
      <c r="GW57" s="152"/>
      <c r="GX57" s="152"/>
      <c r="GY57" s="152"/>
      <c r="GZ57" s="152"/>
      <c r="HA57" s="4"/>
      <c r="HB57" s="4" t="s">
        <v>56</v>
      </c>
      <c r="HC57" s="28"/>
      <c r="HD57" s="152"/>
      <c r="HE57" s="152"/>
      <c r="HF57" s="152"/>
      <c r="HG57" s="152"/>
      <c r="HH57" s="152"/>
      <c r="HI57" s="4"/>
      <c r="HJ57" s="4" t="s">
        <v>56</v>
      </c>
      <c r="HK57" s="28"/>
      <c r="HL57" s="152"/>
      <c r="HM57" s="152"/>
      <c r="HN57" s="152"/>
      <c r="HO57" s="152"/>
      <c r="HP57" s="152"/>
      <c r="HQ57" s="4"/>
      <c r="HR57" s="4" t="s">
        <v>56</v>
      </c>
      <c r="HS57" s="28"/>
      <c r="HT57" s="152"/>
      <c r="HU57" s="152"/>
      <c r="HV57" s="152"/>
      <c r="HW57" s="152"/>
      <c r="HX57" s="152"/>
      <c r="HY57" s="4"/>
      <c r="HZ57" s="4" t="s">
        <v>56</v>
      </c>
      <c r="IA57" s="28"/>
      <c r="IB57" s="152"/>
      <c r="IC57" s="152"/>
      <c r="ID57" s="152"/>
      <c r="IE57" s="152"/>
      <c r="IF57" s="152"/>
      <c r="IG57" s="4"/>
      <c r="IH57" s="4" t="s">
        <v>56</v>
      </c>
      <c r="II57" s="28"/>
      <c r="IJ57" s="152"/>
      <c r="IK57" s="152"/>
      <c r="IL57" s="152"/>
      <c r="IM57" s="152"/>
      <c r="IN57" s="152"/>
      <c r="IO57" s="4"/>
      <c r="IP57" s="4" t="s">
        <v>56</v>
      </c>
      <c r="IQ57" s="28"/>
      <c r="IR57" s="152"/>
      <c r="IS57" s="152"/>
      <c r="IT57" s="152"/>
      <c r="IU57" s="152"/>
      <c r="IV57" s="152"/>
    </row>
    <row r="58" spans="1:256" s="5" customFormat="1" ht="9.75">
      <c r="A58" s="4"/>
      <c r="B58" s="4" t="s">
        <v>377</v>
      </c>
      <c r="C58" s="28"/>
      <c r="D58" s="152"/>
      <c r="E58" s="152"/>
      <c r="F58" s="152"/>
      <c r="G58" s="152"/>
      <c r="H58" s="152"/>
      <c r="I58" s="4"/>
      <c r="J58" s="4" t="s">
        <v>107</v>
      </c>
      <c r="K58" s="28"/>
      <c r="L58" s="152"/>
      <c r="M58" s="152"/>
      <c r="N58" s="152"/>
      <c r="O58" s="152"/>
      <c r="P58" s="152"/>
      <c r="Q58" s="4"/>
      <c r="R58" s="4" t="s">
        <v>57</v>
      </c>
      <c r="S58" s="28"/>
      <c r="T58" s="152"/>
      <c r="U58" s="152"/>
      <c r="V58" s="152"/>
      <c r="W58" s="152"/>
      <c r="X58" s="152"/>
      <c r="Y58" s="4"/>
      <c r="Z58" s="4" t="s">
        <v>57</v>
      </c>
      <c r="AA58" s="28"/>
      <c r="AB58" s="152"/>
      <c r="AC58" s="152"/>
      <c r="AD58" s="152"/>
      <c r="AE58" s="152"/>
      <c r="AF58" s="152"/>
      <c r="AG58" s="4"/>
      <c r="AH58" s="4" t="s">
        <v>57</v>
      </c>
      <c r="AI58" s="28"/>
      <c r="AJ58" s="152"/>
      <c r="AK58" s="152"/>
      <c r="AL58" s="152"/>
      <c r="AM58" s="152"/>
      <c r="AN58" s="152"/>
      <c r="AO58" s="4"/>
      <c r="AP58" s="4" t="s">
        <v>57</v>
      </c>
      <c r="AQ58" s="28"/>
      <c r="AR58" s="152"/>
      <c r="AS58" s="152"/>
      <c r="AT58" s="152"/>
      <c r="AU58" s="152"/>
      <c r="AV58" s="152"/>
      <c r="AW58" s="4"/>
      <c r="AX58" s="4" t="s">
        <v>57</v>
      </c>
      <c r="AY58" s="28"/>
      <c r="AZ58" s="152"/>
      <c r="BA58" s="152"/>
      <c r="BB58" s="152"/>
      <c r="BC58" s="152"/>
      <c r="BD58" s="152"/>
      <c r="BE58" s="4"/>
      <c r="BF58" s="4" t="s">
        <v>57</v>
      </c>
      <c r="BG58" s="28"/>
      <c r="BH58" s="152"/>
      <c r="BI58" s="152"/>
      <c r="BJ58" s="152"/>
      <c r="BK58" s="152"/>
      <c r="BL58" s="152"/>
      <c r="BM58" s="4"/>
      <c r="BN58" s="4" t="s">
        <v>57</v>
      </c>
      <c r="BO58" s="28"/>
      <c r="BP58" s="152"/>
      <c r="BQ58" s="152"/>
      <c r="BR58" s="152"/>
      <c r="BS58" s="152"/>
      <c r="BT58" s="152"/>
      <c r="BU58" s="4"/>
      <c r="BV58" s="4" t="s">
        <v>57</v>
      </c>
      <c r="BW58" s="28"/>
      <c r="BX58" s="152"/>
      <c r="BY58" s="152"/>
      <c r="BZ58" s="152"/>
      <c r="CA58" s="152"/>
      <c r="CB58" s="152"/>
      <c r="CC58" s="4"/>
      <c r="CD58" s="4" t="s">
        <v>57</v>
      </c>
      <c r="CE58" s="28"/>
      <c r="CF58" s="152"/>
      <c r="CG58" s="152"/>
      <c r="CH58" s="152"/>
      <c r="CI58" s="152"/>
      <c r="CJ58" s="152"/>
      <c r="CK58" s="4"/>
      <c r="CL58" s="4" t="s">
        <v>57</v>
      </c>
      <c r="CM58" s="28"/>
      <c r="CN58" s="152"/>
      <c r="CO58" s="152"/>
      <c r="CP58" s="152"/>
      <c r="CQ58" s="152"/>
      <c r="CR58" s="152"/>
      <c r="CS58" s="4"/>
      <c r="CT58" s="4" t="s">
        <v>57</v>
      </c>
      <c r="CU58" s="28"/>
      <c r="CV58" s="152"/>
      <c r="CW58" s="152"/>
      <c r="CX58" s="152"/>
      <c r="CY58" s="152"/>
      <c r="CZ58" s="152"/>
      <c r="DA58" s="4"/>
      <c r="DB58" s="4" t="s">
        <v>57</v>
      </c>
      <c r="DC58" s="28"/>
      <c r="DD58" s="152"/>
      <c r="DE58" s="152"/>
      <c r="DF58" s="152"/>
      <c r="DG58" s="152"/>
      <c r="DH58" s="152"/>
      <c r="DI58" s="4"/>
      <c r="DJ58" s="4" t="s">
        <v>57</v>
      </c>
      <c r="DK58" s="28"/>
      <c r="DL58" s="152"/>
      <c r="DM58" s="152"/>
      <c r="DN58" s="152"/>
      <c r="DO58" s="152"/>
      <c r="DP58" s="152"/>
      <c r="DQ58" s="4"/>
      <c r="DR58" s="4" t="s">
        <v>57</v>
      </c>
      <c r="DS58" s="28"/>
      <c r="DT58" s="152"/>
      <c r="DU58" s="152"/>
      <c r="DV58" s="152"/>
      <c r="DW58" s="152"/>
      <c r="DX58" s="152"/>
      <c r="DY58" s="4"/>
      <c r="DZ58" s="4" t="s">
        <v>57</v>
      </c>
      <c r="EA58" s="28"/>
      <c r="EB58" s="152"/>
      <c r="EC58" s="152"/>
      <c r="ED58" s="152"/>
      <c r="EE58" s="152"/>
      <c r="EF58" s="152"/>
      <c r="EG58" s="4"/>
      <c r="EH58" s="4" t="s">
        <v>57</v>
      </c>
      <c r="EI58" s="28"/>
      <c r="EJ58" s="152"/>
      <c r="EK58" s="152"/>
      <c r="EL58" s="152"/>
      <c r="EM58" s="152"/>
      <c r="EN58" s="152"/>
      <c r="EO58" s="4"/>
      <c r="EP58" s="4" t="s">
        <v>57</v>
      </c>
      <c r="EQ58" s="28"/>
      <c r="ER58" s="152"/>
      <c r="ES58" s="152"/>
      <c r="ET58" s="152"/>
      <c r="EU58" s="152"/>
      <c r="EV58" s="152"/>
      <c r="EW58" s="4"/>
      <c r="EX58" s="4" t="s">
        <v>57</v>
      </c>
      <c r="EY58" s="28"/>
      <c r="EZ58" s="152"/>
      <c r="FA58" s="152"/>
      <c r="FB58" s="152"/>
      <c r="FC58" s="152"/>
      <c r="FD58" s="152"/>
      <c r="FE58" s="4"/>
      <c r="FF58" s="4" t="s">
        <v>57</v>
      </c>
      <c r="FG58" s="28"/>
      <c r="FH58" s="152"/>
      <c r="FI58" s="152"/>
      <c r="FJ58" s="152"/>
      <c r="FK58" s="152"/>
      <c r="FL58" s="152"/>
      <c r="FM58" s="4"/>
      <c r="FN58" s="4" t="s">
        <v>57</v>
      </c>
      <c r="FO58" s="28"/>
      <c r="FP58" s="152"/>
      <c r="FQ58" s="152"/>
      <c r="FR58" s="152"/>
      <c r="FS58" s="152"/>
      <c r="FT58" s="152"/>
      <c r="FU58" s="4"/>
      <c r="FV58" s="4" t="s">
        <v>57</v>
      </c>
      <c r="FW58" s="28"/>
      <c r="FX58" s="152"/>
      <c r="FY58" s="152"/>
      <c r="FZ58" s="152"/>
      <c r="GA58" s="152"/>
      <c r="GB58" s="152"/>
      <c r="GC58" s="4"/>
      <c r="GD58" s="4" t="s">
        <v>57</v>
      </c>
      <c r="GE58" s="28"/>
      <c r="GF58" s="152"/>
      <c r="GG58" s="152"/>
      <c r="GH58" s="152"/>
      <c r="GI58" s="152"/>
      <c r="GJ58" s="152"/>
      <c r="GK58" s="4"/>
      <c r="GL58" s="4" t="s">
        <v>57</v>
      </c>
      <c r="GM58" s="28"/>
      <c r="GN58" s="152"/>
      <c r="GO58" s="152"/>
      <c r="GP58" s="152"/>
      <c r="GQ58" s="152"/>
      <c r="GR58" s="152"/>
      <c r="GS58" s="4"/>
      <c r="GT58" s="4" t="s">
        <v>57</v>
      </c>
      <c r="GU58" s="28"/>
      <c r="GV58" s="152"/>
      <c r="GW58" s="152"/>
      <c r="GX58" s="152"/>
      <c r="GY58" s="152"/>
      <c r="GZ58" s="152"/>
      <c r="HA58" s="4"/>
      <c r="HB58" s="4" t="s">
        <v>57</v>
      </c>
      <c r="HC58" s="28"/>
      <c r="HD58" s="152"/>
      <c r="HE58" s="152"/>
      <c r="HF58" s="152"/>
      <c r="HG58" s="152"/>
      <c r="HH58" s="152"/>
      <c r="HI58" s="4"/>
      <c r="HJ58" s="4" t="s">
        <v>57</v>
      </c>
      <c r="HK58" s="28"/>
      <c r="HL58" s="152"/>
      <c r="HM58" s="152"/>
      <c r="HN58" s="152"/>
      <c r="HO58" s="152"/>
      <c r="HP58" s="152"/>
      <c r="HQ58" s="4"/>
      <c r="HR58" s="4" t="s">
        <v>57</v>
      </c>
      <c r="HS58" s="28"/>
      <c r="HT58" s="152"/>
      <c r="HU58" s="152"/>
      <c r="HV58" s="152"/>
      <c r="HW58" s="152"/>
      <c r="HX58" s="152"/>
      <c r="HY58" s="4"/>
      <c r="HZ58" s="4" t="s">
        <v>57</v>
      </c>
      <c r="IA58" s="28"/>
      <c r="IB58" s="152"/>
      <c r="IC58" s="152"/>
      <c r="ID58" s="152"/>
      <c r="IE58" s="152"/>
      <c r="IF58" s="152"/>
      <c r="IG58" s="4"/>
      <c r="IH58" s="4" t="s">
        <v>57</v>
      </c>
      <c r="II58" s="28"/>
      <c r="IJ58" s="152"/>
      <c r="IK58" s="152"/>
      <c r="IL58" s="152"/>
      <c r="IM58" s="152"/>
      <c r="IN58" s="152"/>
      <c r="IO58" s="4"/>
      <c r="IP58" s="4" t="s">
        <v>57</v>
      </c>
      <c r="IQ58" s="28"/>
      <c r="IR58" s="152"/>
      <c r="IS58" s="152"/>
      <c r="IT58" s="152"/>
      <c r="IU58" s="152"/>
      <c r="IV58" s="152"/>
    </row>
    <row r="59" spans="1:256" s="5" customFormat="1" ht="9.75">
      <c r="A59" s="4"/>
      <c r="B59" s="4"/>
      <c r="C59" s="28"/>
      <c r="D59" s="152"/>
      <c r="E59" s="152"/>
      <c r="F59" s="152"/>
      <c r="G59" s="152"/>
      <c r="H59" s="152"/>
      <c r="I59" s="4"/>
      <c r="J59" s="4"/>
      <c r="K59" s="28"/>
      <c r="L59" s="152"/>
      <c r="M59" s="152"/>
      <c r="N59" s="152"/>
      <c r="O59" s="152"/>
      <c r="P59" s="152"/>
      <c r="Q59" s="4"/>
      <c r="R59" s="4"/>
      <c r="S59" s="28"/>
      <c r="T59" s="152"/>
      <c r="U59" s="152"/>
      <c r="V59" s="152"/>
      <c r="W59" s="152"/>
      <c r="X59" s="152"/>
      <c r="Y59" s="4"/>
      <c r="Z59" s="4"/>
      <c r="AA59" s="28"/>
      <c r="AB59" s="152"/>
      <c r="AC59" s="152"/>
      <c r="AD59" s="152"/>
      <c r="AE59" s="152"/>
      <c r="AF59" s="152"/>
      <c r="AG59" s="4"/>
      <c r="AH59" s="4"/>
      <c r="AI59" s="28"/>
      <c r="AJ59" s="152"/>
      <c r="AK59" s="152"/>
      <c r="AL59" s="152"/>
      <c r="AM59" s="152"/>
      <c r="AN59" s="152"/>
      <c r="AO59" s="4"/>
      <c r="AP59" s="4"/>
      <c r="AQ59" s="28"/>
      <c r="AR59" s="152"/>
      <c r="AS59" s="152"/>
      <c r="AT59" s="152"/>
      <c r="AU59" s="152"/>
      <c r="AV59" s="152"/>
      <c r="AW59" s="4"/>
      <c r="AX59" s="4"/>
      <c r="AY59" s="28"/>
      <c r="AZ59" s="152"/>
      <c r="BA59" s="152"/>
      <c r="BB59" s="152"/>
      <c r="BC59" s="152"/>
      <c r="BD59" s="152"/>
      <c r="BE59" s="4"/>
      <c r="BF59" s="4"/>
      <c r="BG59" s="28"/>
      <c r="BH59" s="152"/>
      <c r="BI59" s="152"/>
      <c r="BJ59" s="152"/>
      <c r="BK59" s="152"/>
      <c r="BL59" s="152"/>
      <c r="BM59" s="4"/>
      <c r="BN59" s="4"/>
      <c r="BO59" s="28"/>
      <c r="BP59" s="152"/>
      <c r="BQ59" s="152"/>
      <c r="BR59" s="152"/>
      <c r="BS59" s="152"/>
      <c r="BT59" s="152"/>
      <c r="BU59" s="4"/>
      <c r="BV59" s="4"/>
      <c r="BW59" s="28"/>
      <c r="BX59" s="152"/>
      <c r="BY59" s="152"/>
      <c r="BZ59" s="152"/>
      <c r="CA59" s="152"/>
      <c r="CB59" s="152"/>
      <c r="CC59" s="4"/>
      <c r="CD59" s="4"/>
      <c r="CE59" s="28"/>
      <c r="CF59" s="152"/>
      <c r="CG59" s="152"/>
      <c r="CH59" s="152"/>
      <c r="CI59" s="152"/>
      <c r="CJ59" s="152"/>
      <c r="CK59" s="4"/>
      <c r="CL59" s="4"/>
      <c r="CM59" s="28"/>
      <c r="CN59" s="152"/>
      <c r="CO59" s="152"/>
      <c r="CP59" s="152"/>
      <c r="CQ59" s="152"/>
      <c r="CR59" s="152"/>
      <c r="CS59" s="4"/>
      <c r="CT59" s="4"/>
      <c r="CU59" s="28"/>
      <c r="CV59" s="152"/>
      <c r="CW59" s="152"/>
      <c r="CX59" s="152"/>
      <c r="CY59" s="152"/>
      <c r="CZ59" s="152"/>
      <c r="DA59" s="4"/>
      <c r="DB59" s="4"/>
      <c r="DC59" s="28"/>
      <c r="DD59" s="152"/>
      <c r="DE59" s="152"/>
      <c r="DF59" s="152"/>
      <c r="DG59" s="152"/>
      <c r="DH59" s="152"/>
      <c r="DI59" s="4"/>
      <c r="DJ59" s="4"/>
      <c r="DK59" s="28"/>
      <c r="DL59" s="152"/>
      <c r="DM59" s="152"/>
      <c r="DN59" s="152"/>
      <c r="DO59" s="152"/>
      <c r="DP59" s="152"/>
      <c r="DQ59" s="4"/>
      <c r="DR59" s="4"/>
      <c r="DS59" s="28"/>
      <c r="DT59" s="152"/>
      <c r="DU59" s="152"/>
      <c r="DV59" s="152"/>
      <c r="DW59" s="152"/>
      <c r="DX59" s="152"/>
      <c r="DY59" s="4"/>
      <c r="DZ59" s="4"/>
      <c r="EA59" s="28"/>
      <c r="EB59" s="152"/>
      <c r="EC59" s="152"/>
      <c r="ED59" s="152"/>
      <c r="EE59" s="152"/>
      <c r="EF59" s="152"/>
      <c r="EG59" s="4"/>
      <c r="EH59" s="4"/>
      <c r="EI59" s="28"/>
      <c r="EJ59" s="152"/>
      <c r="EK59" s="152"/>
      <c r="EL59" s="152"/>
      <c r="EM59" s="152"/>
      <c r="EN59" s="152"/>
      <c r="EO59" s="4"/>
      <c r="EP59" s="4"/>
      <c r="EQ59" s="28"/>
      <c r="ER59" s="152"/>
      <c r="ES59" s="152"/>
      <c r="ET59" s="152"/>
      <c r="EU59" s="152"/>
      <c r="EV59" s="152"/>
      <c r="EW59" s="4"/>
      <c r="EX59" s="4"/>
      <c r="EY59" s="28"/>
      <c r="EZ59" s="152"/>
      <c r="FA59" s="152"/>
      <c r="FB59" s="152"/>
      <c r="FC59" s="152"/>
      <c r="FD59" s="152"/>
      <c r="FE59" s="4"/>
      <c r="FF59" s="4"/>
      <c r="FG59" s="28"/>
      <c r="FH59" s="152"/>
      <c r="FI59" s="152"/>
      <c r="FJ59" s="152"/>
      <c r="FK59" s="152"/>
      <c r="FL59" s="152"/>
      <c r="FM59" s="4"/>
      <c r="FN59" s="4"/>
      <c r="FO59" s="28"/>
      <c r="FP59" s="152"/>
      <c r="FQ59" s="152"/>
      <c r="FR59" s="152"/>
      <c r="FS59" s="152"/>
      <c r="FT59" s="152"/>
      <c r="FU59" s="4"/>
      <c r="FV59" s="4"/>
      <c r="FW59" s="28"/>
      <c r="FX59" s="152"/>
      <c r="FY59" s="152"/>
      <c r="FZ59" s="152"/>
      <c r="GA59" s="152"/>
      <c r="GB59" s="152"/>
      <c r="GC59" s="4"/>
      <c r="GD59" s="4"/>
      <c r="GE59" s="28"/>
      <c r="GF59" s="152"/>
      <c r="GG59" s="152"/>
      <c r="GH59" s="152"/>
      <c r="GI59" s="152"/>
      <c r="GJ59" s="152"/>
      <c r="GK59" s="4"/>
      <c r="GL59" s="4"/>
      <c r="GM59" s="28"/>
      <c r="GN59" s="152"/>
      <c r="GO59" s="152"/>
      <c r="GP59" s="152"/>
      <c r="GQ59" s="152"/>
      <c r="GR59" s="152"/>
      <c r="GS59" s="4"/>
      <c r="GT59" s="4"/>
      <c r="GU59" s="28"/>
      <c r="GV59" s="152"/>
      <c r="GW59" s="152"/>
      <c r="GX59" s="152"/>
      <c r="GY59" s="152"/>
      <c r="GZ59" s="152"/>
      <c r="HA59" s="4"/>
      <c r="HB59" s="4"/>
      <c r="HC59" s="28"/>
      <c r="HD59" s="152"/>
      <c r="HE59" s="152"/>
      <c r="HF59" s="152"/>
      <c r="HG59" s="152"/>
      <c r="HH59" s="152"/>
      <c r="HI59" s="4"/>
      <c r="HJ59" s="4"/>
      <c r="HK59" s="28"/>
      <c r="HL59" s="152"/>
      <c r="HM59" s="152"/>
      <c r="HN59" s="152"/>
      <c r="HO59" s="152"/>
      <c r="HP59" s="152"/>
      <c r="HQ59" s="4"/>
      <c r="HR59" s="4"/>
      <c r="HS59" s="28"/>
      <c r="HT59" s="152"/>
      <c r="HU59" s="152"/>
      <c r="HV59" s="152"/>
      <c r="HW59" s="152"/>
      <c r="HX59" s="152"/>
      <c r="HY59" s="4"/>
      <c r="HZ59" s="4"/>
      <c r="IA59" s="28"/>
      <c r="IB59" s="152"/>
      <c r="IC59" s="152"/>
      <c r="ID59" s="152"/>
      <c r="IE59" s="152"/>
      <c r="IF59" s="152"/>
      <c r="IG59" s="4"/>
      <c r="IH59" s="4"/>
      <c r="II59" s="28"/>
      <c r="IJ59" s="152"/>
      <c r="IK59" s="152"/>
      <c r="IL59" s="152"/>
      <c r="IM59" s="152"/>
      <c r="IN59" s="152"/>
      <c r="IO59" s="4"/>
      <c r="IP59" s="4"/>
      <c r="IQ59" s="28"/>
      <c r="IR59" s="152"/>
      <c r="IS59" s="152"/>
      <c r="IT59" s="152"/>
      <c r="IU59" s="152"/>
      <c r="IV59" s="152"/>
    </row>
    <row r="60" spans="1:256" s="4" customFormat="1" ht="12.75">
      <c r="A60" s="424" t="s">
        <v>58</v>
      </c>
      <c r="B60" s="3" t="s">
        <v>59</v>
      </c>
      <c r="C60" s="28"/>
      <c r="D60" s="468" t="s">
        <v>364</v>
      </c>
      <c r="E60" s="506"/>
      <c r="F60" s="506"/>
      <c r="G60" s="3"/>
      <c r="H60" s="3" t="s">
        <v>107</v>
      </c>
      <c r="I60" s="405" t="s">
        <v>107</v>
      </c>
      <c r="J60" s="3" t="s">
        <v>107</v>
      </c>
      <c r="K60" s="28"/>
      <c r="L60" s="406" t="s">
        <v>107</v>
      </c>
      <c r="M60" s="27"/>
      <c r="O60" s="3"/>
      <c r="P60" s="407"/>
      <c r="Q60" s="405" t="s">
        <v>58</v>
      </c>
      <c r="R60" s="3" t="s">
        <v>59</v>
      </c>
      <c r="S60" s="28"/>
      <c r="T60" s="406" t="s">
        <v>60</v>
      </c>
      <c r="U60" s="27"/>
      <c r="W60" s="3"/>
      <c r="X60" s="407"/>
      <c r="Y60" s="405" t="s">
        <v>58</v>
      </c>
      <c r="Z60" s="3" t="s">
        <v>59</v>
      </c>
      <c r="AA60" s="28"/>
      <c r="AB60" s="406" t="s">
        <v>60</v>
      </c>
      <c r="AC60" s="27"/>
      <c r="AE60" s="3"/>
      <c r="AF60" s="407"/>
      <c r="AG60" s="405" t="s">
        <v>58</v>
      </c>
      <c r="AH60" s="3" t="s">
        <v>59</v>
      </c>
      <c r="AI60" s="28"/>
      <c r="AJ60" s="406" t="s">
        <v>60</v>
      </c>
      <c r="AK60" s="27"/>
      <c r="AM60" s="3"/>
      <c r="AN60" s="407"/>
      <c r="AO60" s="405" t="s">
        <v>58</v>
      </c>
      <c r="AP60" s="3" t="s">
        <v>59</v>
      </c>
      <c r="AQ60" s="28"/>
      <c r="AR60" s="406" t="s">
        <v>60</v>
      </c>
      <c r="AS60" s="27"/>
      <c r="AU60" s="3"/>
      <c r="AV60" s="407"/>
      <c r="AW60" s="405" t="s">
        <v>58</v>
      </c>
      <c r="AX60" s="3" t="s">
        <v>59</v>
      </c>
      <c r="AY60" s="28"/>
      <c r="AZ60" s="406" t="s">
        <v>60</v>
      </c>
      <c r="BA60" s="27"/>
      <c r="BC60" s="3"/>
      <c r="BD60" s="407"/>
      <c r="BE60" s="405" t="s">
        <v>58</v>
      </c>
      <c r="BF60" s="3" t="s">
        <v>59</v>
      </c>
      <c r="BG60" s="28"/>
      <c r="BH60" s="406" t="s">
        <v>60</v>
      </c>
      <c r="BI60" s="27"/>
      <c r="BK60" s="3"/>
      <c r="BL60" s="407"/>
      <c r="BM60" s="405" t="s">
        <v>58</v>
      </c>
      <c r="BN60" s="3" t="s">
        <v>59</v>
      </c>
      <c r="BO60" s="28"/>
      <c r="BP60" s="406" t="s">
        <v>60</v>
      </c>
      <c r="BQ60" s="27"/>
      <c r="BS60" s="3"/>
      <c r="BT60" s="407"/>
      <c r="BU60" s="405" t="s">
        <v>58</v>
      </c>
      <c r="BV60" s="3" t="s">
        <v>59</v>
      </c>
      <c r="BW60" s="28"/>
      <c r="BX60" s="406" t="s">
        <v>60</v>
      </c>
      <c r="BY60" s="27"/>
      <c r="CA60" s="3"/>
      <c r="CB60" s="407"/>
      <c r="CC60" s="405" t="s">
        <v>58</v>
      </c>
      <c r="CD60" s="3" t="s">
        <v>59</v>
      </c>
      <c r="CE60" s="28"/>
      <c r="CF60" s="406" t="s">
        <v>60</v>
      </c>
      <c r="CG60" s="27"/>
      <c r="CI60" s="3"/>
      <c r="CJ60" s="407"/>
      <c r="CK60" s="405" t="s">
        <v>58</v>
      </c>
      <c r="CL60" s="3" t="s">
        <v>59</v>
      </c>
      <c r="CM60" s="28"/>
      <c r="CN60" s="406" t="s">
        <v>60</v>
      </c>
      <c r="CO60" s="27"/>
      <c r="CQ60" s="3"/>
      <c r="CR60" s="407"/>
      <c r="CS60" s="405" t="s">
        <v>58</v>
      </c>
      <c r="CT60" s="3" t="s">
        <v>59</v>
      </c>
      <c r="CU60" s="28"/>
      <c r="CV60" s="406" t="s">
        <v>60</v>
      </c>
      <c r="CW60" s="27"/>
      <c r="CY60" s="3"/>
      <c r="CZ60" s="407"/>
      <c r="DA60" s="405" t="s">
        <v>58</v>
      </c>
      <c r="DB60" s="3" t="s">
        <v>59</v>
      </c>
      <c r="DC60" s="28"/>
      <c r="DD60" s="406" t="s">
        <v>60</v>
      </c>
      <c r="DE60" s="27"/>
      <c r="DG60" s="3"/>
      <c r="DH60" s="407"/>
      <c r="DI60" s="405" t="s">
        <v>58</v>
      </c>
      <c r="DJ60" s="3" t="s">
        <v>59</v>
      </c>
      <c r="DK60" s="28"/>
      <c r="DL60" s="406" t="s">
        <v>60</v>
      </c>
      <c r="DM60" s="27"/>
      <c r="DO60" s="3"/>
      <c r="DP60" s="407"/>
      <c r="DQ60" s="405" t="s">
        <v>58</v>
      </c>
      <c r="DR60" s="3" t="s">
        <v>59</v>
      </c>
      <c r="DS60" s="28"/>
      <c r="DT60" s="406" t="s">
        <v>60</v>
      </c>
      <c r="DU60" s="27"/>
      <c r="DW60" s="3"/>
      <c r="DX60" s="407"/>
      <c r="DY60" s="405" t="s">
        <v>58</v>
      </c>
      <c r="DZ60" s="3" t="s">
        <v>59</v>
      </c>
      <c r="EA60" s="28"/>
      <c r="EB60" s="406" t="s">
        <v>60</v>
      </c>
      <c r="EC60" s="27"/>
      <c r="EE60" s="3"/>
      <c r="EF60" s="407"/>
      <c r="EG60" s="405" t="s">
        <v>58</v>
      </c>
      <c r="EH60" s="3" t="s">
        <v>59</v>
      </c>
      <c r="EI60" s="28"/>
      <c r="EJ60" s="406" t="s">
        <v>60</v>
      </c>
      <c r="EK60" s="27"/>
      <c r="EM60" s="3"/>
      <c r="EN60" s="407"/>
      <c r="EO60" s="405" t="s">
        <v>58</v>
      </c>
      <c r="EP60" s="3" t="s">
        <v>59</v>
      </c>
      <c r="EQ60" s="28"/>
      <c r="ER60" s="406" t="s">
        <v>60</v>
      </c>
      <c r="ES60" s="27"/>
      <c r="EU60" s="3"/>
      <c r="EV60" s="407"/>
      <c r="EW60" s="405" t="s">
        <v>58</v>
      </c>
      <c r="EX60" s="3" t="s">
        <v>59</v>
      </c>
      <c r="EY60" s="28"/>
      <c r="EZ60" s="406" t="s">
        <v>60</v>
      </c>
      <c r="FA60" s="27"/>
      <c r="FC60" s="3"/>
      <c r="FD60" s="407"/>
      <c r="FE60" s="405" t="s">
        <v>58</v>
      </c>
      <c r="FF60" s="3" t="s">
        <v>59</v>
      </c>
      <c r="FG60" s="28"/>
      <c r="FH60" s="406" t="s">
        <v>60</v>
      </c>
      <c r="FI60" s="27"/>
      <c r="FK60" s="3"/>
      <c r="FL60" s="407"/>
      <c r="FM60" s="405" t="s">
        <v>58</v>
      </c>
      <c r="FN60" s="3" t="s">
        <v>59</v>
      </c>
      <c r="FO60" s="28"/>
      <c r="FP60" s="406" t="s">
        <v>60</v>
      </c>
      <c r="FQ60" s="27"/>
      <c r="FS60" s="3"/>
      <c r="FT60" s="407"/>
      <c r="FU60" s="405" t="s">
        <v>58</v>
      </c>
      <c r="FV60" s="3" t="s">
        <v>59</v>
      </c>
      <c r="FW60" s="28"/>
      <c r="FX60" s="406" t="s">
        <v>60</v>
      </c>
      <c r="FY60" s="27"/>
      <c r="GA60" s="3"/>
      <c r="GB60" s="407"/>
      <c r="GC60" s="405" t="s">
        <v>58</v>
      </c>
      <c r="GD60" s="3" t="s">
        <v>59</v>
      </c>
      <c r="GE60" s="28"/>
      <c r="GF60" s="406" t="s">
        <v>60</v>
      </c>
      <c r="GG60" s="27"/>
      <c r="GI60" s="3"/>
      <c r="GJ60" s="407"/>
      <c r="GK60" s="405" t="s">
        <v>58</v>
      </c>
      <c r="GL60" s="3" t="s">
        <v>59</v>
      </c>
      <c r="GM60" s="28"/>
      <c r="GN60" s="406" t="s">
        <v>60</v>
      </c>
      <c r="GO60" s="27"/>
      <c r="GQ60" s="3"/>
      <c r="GR60" s="407"/>
      <c r="GS60" s="405" t="s">
        <v>58</v>
      </c>
      <c r="GT60" s="3" t="s">
        <v>59</v>
      </c>
      <c r="GU60" s="28"/>
      <c r="GV60" s="406" t="s">
        <v>60</v>
      </c>
      <c r="GW60" s="27"/>
      <c r="GY60" s="3"/>
      <c r="GZ60" s="407"/>
      <c r="HA60" s="405" t="s">
        <v>58</v>
      </c>
      <c r="HB60" s="3" t="s">
        <v>59</v>
      </c>
      <c r="HC60" s="28"/>
      <c r="HD60" s="406" t="s">
        <v>60</v>
      </c>
      <c r="HE60" s="27"/>
      <c r="HG60" s="3"/>
      <c r="HH60" s="407"/>
      <c r="HI60" s="405" t="s">
        <v>58</v>
      </c>
      <c r="HJ60" s="3" t="s">
        <v>59</v>
      </c>
      <c r="HK60" s="28"/>
      <c r="HL60" s="406" t="s">
        <v>60</v>
      </c>
      <c r="HM60" s="27"/>
      <c r="HO60" s="3"/>
      <c r="HP60" s="407"/>
      <c r="HQ60" s="405" t="s">
        <v>58</v>
      </c>
      <c r="HR60" s="3" t="s">
        <v>59</v>
      </c>
      <c r="HS60" s="28"/>
      <c r="HT60" s="406" t="s">
        <v>60</v>
      </c>
      <c r="HU60" s="27"/>
      <c r="HW60" s="3"/>
      <c r="HX60" s="407"/>
      <c r="HY60" s="405" t="s">
        <v>58</v>
      </c>
      <c r="HZ60" s="3" t="s">
        <v>59</v>
      </c>
      <c r="IA60" s="28"/>
      <c r="IB60" s="406" t="s">
        <v>60</v>
      </c>
      <c r="IC60" s="27"/>
      <c r="IE60" s="3"/>
      <c r="IF60" s="407"/>
      <c r="IG60" s="405" t="s">
        <v>58</v>
      </c>
      <c r="IH60" s="3" t="s">
        <v>59</v>
      </c>
      <c r="II60" s="28"/>
      <c r="IJ60" s="406" t="s">
        <v>60</v>
      </c>
      <c r="IK60" s="27"/>
      <c r="IM60" s="3"/>
      <c r="IN60" s="407"/>
      <c r="IO60" s="405" t="s">
        <v>58</v>
      </c>
      <c r="IP60" s="3" t="s">
        <v>59</v>
      </c>
      <c r="IQ60" s="28"/>
      <c r="IR60" s="406" t="s">
        <v>60</v>
      </c>
      <c r="IS60" s="27"/>
      <c r="IU60" s="3"/>
      <c r="IV60" s="407"/>
    </row>
    <row r="61" spans="1:256" s="4" customFormat="1" ht="12.75">
      <c r="A61" s="238"/>
      <c r="B61" s="3" t="s">
        <v>411</v>
      </c>
      <c r="C61" s="28"/>
      <c r="D61" s="26"/>
      <c r="E61" s="27"/>
      <c r="G61" s="3"/>
      <c r="H61" s="3"/>
      <c r="I61" s="3"/>
      <c r="J61" s="3" t="s">
        <v>107</v>
      </c>
      <c r="K61" s="28"/>
      <c r="L61" s="26"/>
      <c r="M61" s="27"/>
      <c r="O61" s="3"/>
      <c r="P61" s="3"/>
      <c r="Q61" s="3"/>
      <c r="R61" s="3" t="s">
        <v>61</v>
      </c>
      <c r="S61" s="28"/>
      <c r="T61" s="26"/>
      <c r="U61" s="27"/>
      <c r="W61" s="3"/>
      <c r="X61" s="3"/>
      <c r="Y61" s="3"/>
      <c r="Z61" s="3" t="s">
        <v>61</v>
      </c>
      <c r="AA61" s="28"/>
      <c r="AB61" s="26"/>
      <c r="AC61" s="27"/>
      <c r="AE61" s="3"/>
      <c r="AF61" s="3"/>
      <c r="AG61" s="3"/>
      <c r="AH61" s="3" t="s">
        <v>61</v>
      </c>
      <c r="AI61" s="28"/>
      <c r="AJ61" s="26"/>
      <c r="AK61" s="27"/>
      <c r="AM61" s="3"/>
      <c r="AN61" s="3"/>
      <c r="AO61" s="3"/>
      <c r="AP61" s="3" t="s">
        <v>61</v>
      </c>
      <c r="AQ61" s="28"/>
      <c r="AR61" s="26"/>
      <c r="AS61" s="27"/>
      <c r="AU61" s="3"/>
      <c r="AV61" s="3"/>
      <c r="AW61" s="3"/>
      <c r="AX61" s="3" t="s">
        <v>61</v>
      </c>
      <c r="AY61" s="28"/>
      <c r="AZ61" s="26"/>
      <c r="BA61" s="27"/>
      <c r="BC61" s="3"/>
      <c r="BD61" s="3"/>
      <c r="BE61" s="3"/>
      <c r="BF61" s="3" t="s">
        <v>61</v>
      </c>
      <c r="BG61" s="28"/>
      <c r="BH61" s="26"/>
      <c r="BI61" s="27"/>
      <c r="BK61" s="3"/>
      <c r="BL61" s="3"/>
      <c r="BM61" s="3"/>
      <c r="BN61" s="3" t="s">
        <v>61</v>
      </c>
      <c r="BO61" s="28"/>
      <c r="BP61" s="26"/>
      <c r="BQ61" s="27"/>
      <c r="BS61" s="3"/>
      <c r="BT61" s="3"/>
      <c r="BU61" s="3"/>
      <c r="BV61" s="3" t="s">
        <v>61</v>
      </c>
      <c r="BW61" s="28"/>
      <c r="BX61" s="26"/>
      <c r="BY61" s="27"/>
      <c r="CA61" s="3"/>
      <c r="CB61" s="3"/>
      <c r="CC61" s="3"/>
      <c r="CD61" s="3" t="s">
        <v>61</v>
      </c>
      <c r="CE61" s="28"/>
      <c r="CF61" s="26"/>
      <c r="CG61" s="27"/>
      <c r="CI61" s="3"/>
      <c r="CJ61" s="3"/>
      <c r="CK61" s="3"/>
      <c r="CL61" s="3" t="s">
        <v>61</v>
      </c>
      <c r="CM61" s="28"/>
      <c r="CN61" s="26"/>
      <c r="CO61" s="27"/>
      <c r="CQ61" s="3"/>
      <c r="CR61" s="3"/>
      <c r="CS61" s="3"/>
      <c r="CT61" s="3" t="s">
        <v>61</v>
      </c>
      <c r="CU61" s="28"/>
      <c r="CV61" s="26"/>
      <c r="CW61" s="27"/>
      <c r="CY61" s="3"/>
      <c r="CZ61" s="3"/>
      <c r="DA61" s="3"/>
      <c r="DB61" s="3" t="s">
        <v>61</v>
      </c>
      <c r="DC61" s="28"/>
      <c r="DD61" s="26"/>
      <c r="DE61" s="27"/>
      <c r="DG61" s="3"/>
      <c r="DH61" s="3"/>
      <c r="DI61" s="3"/>
      <c r="DJ61" s="3" t="s">
        <v>61</v>
      </c>
      <c r="DK61" s="28"/>
      <c r="DL61" s="26"/>
      <c r="DM61" s="27"/>
      <c r="DO61" s="3"/>
      <c r="DP61" s="3"/>
      <c r="DQ61" s="3"/>
      <c r="DR61" s="3" t="s">
        <v>61</v>
      </c>
      <c r="DS61" s="28"/>
      <c r="DT61" s="26"/>
      <c r="DU61" s="27"/>
      <c r="DW61" s="3"/>
      <c r="DX61" s="3"/>
      <c r="DY61" s="3"/>
      <c r="DZ61" s="3" t="s">
        <v>61</v>
      </c>
      <c r="EA61" s="28"/>
      <c r="EB61" s="26"/>
      <c r="EC61" s="27"/>
      <c r="EE61" s="3"/>
      <c r="EF61" s="3"/>
      <c r="EG61" s="3"/>
      <c r="EH61" s="3" t="s">
        <v>61</v>
      </c>
      <c r="EI61" s="28"/>
      <c r="EJ61" s="26"/>
      <c r="EK61" s="27"/>
      <c r="EM61" s="3"/>
      <c r="EN61" s="3"/>
      <c r="EO61" s="3"/>
      <c r="EP61" s="3" t="s">
        <v>61</v>
      </c>
      <c r="EQ61" s="28"/>
      <c r="ER61" s="26"/>
      <c r="ES61" s="27"/>
      <c r="EU61" s="3"/>
      <c r="EV61" s="3"/>
      <c r="EW61" s="3"/>
      <c r="EX61" s="3" t="s">
        <v>61</v>
      </c>
      <c r="EY61" s="28"/>
      <c r="EZ61" s="26"/>
      <c r="FA61" s="27"/>
      <c r="FC61" s="3"/>
      <c r="FD61" s="3"/>
      <c r="FE61" s="3"/>
      <c r="FF61" s="3" t="s">
        <v>61</v>
      </c>
      <c r="FG61" s="28"/>
      <c r="FH61" s="26"/>
      <c r="FI61" s="27"/>
      <c r="FK61" s="3"/>
      <c r="FL61" s="3"/>
      <c r="FM61" s="3"/>
      <c r="FN61" s="3" t="s">
        <v>61</v>
      </c>
      <c r="FO61" s="28"/>
      <c r="FP61" s="26"/>
      <c r="FQ61" s="27"/>
      <c r="FS61" s="3"/>
      <c r="FT61" s="3"/>
      <c r="FU61" s="3"/>
      <c r="FV61" s="3" t="s">
        <v>61</v>
      </c>
      <c r="FW61" s="28"/>
      <c r="FX61" s="26"/>
      <c r="FY61" s="27"/>
      <c r="GA61" s="3"/>
      <c r="GB61" s="3"/>
      <c r="GC61" s="3"/>
      <c r="GD61" s="3" t="s">
        <v>61</v>
      </c>
      <c r="GE61" s="28"/>
      <c r="GF61" s="26"/>
      <c r="GG61" s="27"/>
      <c r="GI61" s="3"/>
      <c r="GJ61" s="3"/>
      <c r="GK61" s="3"/>
      <c r="GL61" s="3" t="s">
        <v>61</v>
      </c>
      <c r="GM61" s="28"/>
      <c r="GN61" s="26"/>
      <c r="GO61" s="27"/>
      <c r="GQ61" s="3"/>
      <c r="GR61" s="3"/>
      <c r="GS61" s="3"/>
      <c r="GT61" s="3" t="s">
        <v>61</v>
      </c>
      <c r="GU61" s="28"/>
      <c r="GV61" s="26"/>
      <c r="GW61" s="27"/>
      <c r="GY61" s="3"/>
      <c r="GZ61" s="3"/>
      <c r="HA61" s="3"/>
      <c r="HB61" s="3" t="s">
        <v>61</v>
      </c>
      <c r="HC61" s="28"/>
      <c r="HD61" s="26"/>
      <c r="HE61" s="27"/>
      <c r="HG61" s="3"/>
      <c r="HH61" s="3"/>
      <c r="HI61" s="3"/>
      <c r="HJ61" s="3" t="s">
        <v>61</v>
      </c>
      <c r="HK61" s="28"/>
      <c r="HL61" s="26"/>
      <c r="HM61" s="27"/>
      <c r="HO61" s="3"/>
      <c r="HP61" s="3"/>
      <c r="HQ61" s="3"/>
      <c r="HR61" s="3" t="s">
        <v>61</v>
      </c>
      <c r="HS61" s="28"/>
      <c r="HT61" s="26"/>
      <c r="HU61" s="27"/>
      <c r="HW61" s="3"/>
      <c r="HX61" s="3"/>
      <c r="HY61" s="3"/>
      <c r="HZ61" s="3" t="s">
        <v>61</v>
      </c>
      <c r="IA61" s="28"/>
      <c r="IB61" s="26"/>
      <c r="IC61" s="27"/>
      <c r="IE61" s="3"/>
      <c r="IF61" s="3"/>
      <c r="IG61" s="3"/>
      <c r="IH61" s="3" t="s">
        <v>61</v>
      </c>
      <c r="II61" s="28"/>
      <c r="IJ61" s="26"/>
      <c r="IK61" s="27"/>
      <c r="IM61" s="3"/>
      <c r="IN61" s="3"/>
      <c r="IO61" s="3"/>
      <c r="IP61" s="3" t="s">
        <v>61</v>
      </c>
      <c r="IQ61" s="28"/>
      <c r="IR61" s="26"/>
      <c r="IS61" s="27"/>
      <c r="IU61" s="3"/>
      <c r="IV61" s="3"/>
    </row>
    <row r="63" spans="1:11" ht="12.75">
      <c r="A63" s="1" t="s">
        <v>365</v>
      </c>
      <c r="C63" s="426" t="s">
        <v>367</v>
      </c>
      <c r="D63" s="425"/>
      <c r="E63" s="425"/>
      <c r="F63" s="425"/>
      <c r="G63" s="425"/>
      <c r="H63" s="425"/>
      <c r="I63" s="425"/>
      <c r="J63" s="425"/>
      <c r="K63" s="425"/>
    </row>
    <row r="64" spans="1:11" ht="12.75">
      <c r="A64" s="1" t="s">
        <v>366</v>
      </c>
      <c r="C64" s="426" t="s">
        <v>378</v>
      </c>
      <c r="D64" s="425"/>
      <c r="E64" s="425"/>
      <c r="F64" s="425"/>
      <c r="G64" s="425"/>
      <c r="H64" s="425"/>
      <c r="I64" s="425"/>
      <c r="J64" s="425"/>
      <c r="K64" s="425"/>
    </row>
    <row r="65" spans="1:11" s="4" customFormat="1" ht="9.75">
      <c r="A65" s="4" t="s">
        <v>115</v>
      </c>
      <c r="C65" s="21" t="s">
        <v>210</v>
      </c>
      <c r="D65" s="20"/>
      <c r="E65" s="20"/>
      <c r="F65" s="20"/>
      <c r="G65" s="20"/>
      <c r="H65" s="20"/>
      <c r="I65" s="20"/>
      <c r="J65" s="20"/>
      <c r="K65" s="20"/>
    </row>
    <row r="66" spans="1:11" s="4" customFormat="1" ht="9.75">
      <c r="A66" s="4" t="s">
        <v>116</v>
      </c>
      <c r="C66" s="20" t="s">
        <v>14</v>
      </c>
      <c r="D66" s="20"/>
      <c r="E66" s="20"/>
      <c r="F66" s="20" t="s">
        <v>107</v>
      </c>
      <c r="G66" s="20"/>
      <c r="H66" s="20"/>
      <c r="I66" s="20"/>
      <c r="J66" s="20"/>
      <c r="K66" s="20"/>
    </row>
    <row r="67" spans="3:11" s="4" customFormat="1" ht="9.75">
      <c r="C67" s="19"/>
      <c r="D67" s="19"/>
      <c r="E67" s="19"/>
      <c r="F67" s="19"/>
      <c r="G67" s="19"/>
      <c r="H67" s="19"/>
      <c r="I67" s="19"/>
      <c r="J67" s="19"/>
      <c r="K67" s="19"/>
    </row>
    <row r="68" spans="1:11" s="4" customFormat="1" ht="9.75">
      <c r="A68" s="5" t="s">
        <v>370</v>
      </c>
      <c r="B68" s="435"/>
      <c r="C68" s="436"/>
      <c r="D68" s="460" t="s">
        <v>381</v>
      </c>
      <c r="E68" s="436"/>
      <c r="F68" s="5"/>
      <c r="G68" s="5"/>
      <c r="H68" s="5"/>
      <c r="I68" s="5"/>
      <c r="J68" s="5"/>
      <c r="K68" s="439" t="s">
        <v>209</v>
      </c>
    </row>
    <row r="69" spans="1:11" ht="12.75">
      <c r="A69" s="482" t="s">
        <v>129</v>
      </c>
      <c r="B69" s="483"/>
      <c r="C69" s="483"/>
      <c r="D69" s="60">
        <v>40351</v>
      </c>
      <c r="E69" s="484" t="s">
        <v>283</v>
      </c>
      <c r="F69" s="485"/>
      <c r="G69" s="485"/>
      <c r="H69" s="485"/>
      <c r="I69" s="485"/>
      <c r="J69" s="485"/>
      <c r="K69" s="485"/>
    </row>
    <row r="70" spans="1:11" ht="12.75">
      <c r="A70" s="12"/>
      <c r="B70" s="13"/>
      <c r="C70" s="10" t="s">
        <v>278</v>
      </c>
      <c r="D70" s="20">
        <v>15</v>
      </c>
      <c r="E70" s="36" t="s">
        <v>252</v>
      </c>
      <c r="F70" s="36"/>
      <c r="G70" s="99"/>
      <c r="H70" s="24" t="s">
        <v>107</v>
      </c>
      <c r="I70" s="37" t="s">
        <v>107</v>
      </c>
      <c r="J70" s="7"/>
      <c r="K70" s="11"/>
    </row>
    <row r="71" spans="1:11" ht="12.75">
      <c r="A71" s="12"/>
      <c r="B71" s="13"/>
      <c r="C71" s="10" t="s">
        <v>112</v>
      </c>
      <c r="D71" s="61">
        <v>1156.06</v>
      </c>
      <c r="E71" s="36" t="s">
        <v>118</v>
      </c>
      <c r="F71" s="99"/>
      <c r="G71" s="99"/>
      <c r="H71" s="103" t="s">
        <v>107</v>
      </c>
      <c r="I71" s="104" t="s">
        <v>107</v>
      </c>
      <c r="J71" s="7"/>
      <c r="K71" s="11"/>
    </row>
    <row r="72" spans="1:11" ht="12.75">
      <c r="A72" s="12"/>
      <c r="B72" s="13"/>
      <c r="C72" s="10" t="s">
        <v>112</v>
      </c>
      <c r="D72" s="61">
        <v>0</v>
      </c>
      <c r="E72" s="36" t="s">
        <v>119</v>
      </c>
      <c r="F72" s="99"/>
      <c r="G72" s="99"/>
      <c r="H72" s="103"/>
      <c r="I72" s="104"/>
      <c r="J72" s="7"/>
      <c r="K72" s="11"/>
    </row>
    <row r="73" spans="1:11" ht="12.75">
      <c r="A73" s="12"/>
      <c r="B73" s="13"/>
      <c r="C73" s="10"/>
      <c r="D73" s="244"/>
      <c r="E73" s="19"/>
      <c r="F73" s="196"/>
      <c r="G73" s="196"/>
      <c r="H73" s="197"/>
      <c r="I73" s="198"/>
      <c r="J73" s="199"/>
      <c r="K73" s="200"/>
    </row>
    <row r="74" spans="1:11" ht="12.75">
      <c r="A74" s="147"/>
      <c r="B74" s="185"/>
      <c r="C74" s="431" t="s">
        <v>82</v>
      </c>
      <c r="D74" s="244"/>
      <c r="E74" s="19"/>
      <c r="F74" s="196"/>
      <c r="G74" s="196"/>
      <c r="H74" s="197"/>
      <c r="I74" s="198"/>
      <c r="J74" s="199"/>
      <c r="K74" s="200"/>
    </row>
    <row r="75" spans="1:11" ht="12.75">
      <c r="A75" s="432"/>
      <c r="B75" s="29"/>
      <c r="C75" s="32" t="s">
        <v>273</v>
      </c>
      <c r="D75" s="33">
        <f>SUM(D76:D78)</f>
        <v>1793128.6600000001</v>
      </c>
      <c r="E75" s="505" t="s">
        <v>107</v>
      </c>
      <c r="F75" s="506"/>
      <c r="G75" s="506"/>
      <c r="H75" s="506"/>
      <c r="I75" s="506"/>
      <c r="J75" s="7" t="s">
        <v>107</v>
      </c>
      <c r="K75" s="11"/>
    </row>
    <row r="76" spans="1:11" ht="12.75">
      <c r="A76" s="147"/>
      <c r="B76" s="29"/>
      <c r="C76" s="32" t="s">
        <v>254</v>
      </c>
      <c r="D76" s="62">
        <v>186026.28</v>
      </c>
      <c r="E76" s="36"/>
      <c r="F76" s="99"/>
      <c r="G76" s="99"/>
      <c r="H76" s="103"/>
      <c r="I76" s="104"/>
      <c r="J76" s="7"/>
      <c r="K76" s="11"/>
    </row>
    <row r="77" spans="1:11" ht="12.75">
      <c r="A77" s="147"/>
      <c r="B77" s="29"/>
      <c r="C77" s="32" t="s">
        <v>253</v>
      </c>
      <c r="D77" s="62">
        <v>1222253.26</v>
      </c>
      <c r="E77" s="36"/>
      <c r="F77" s="99"/>
      <c r="G77" s="99"/>
      <c r="H77" s="103"/>
      <c r="I77" s="104"/>
      <c r="J77" s="7"/>
      <c r="K77" s="11"/>
    </row>
    <row r="78" spans="1:11" ht="12.75">
      <c r="A78" s="147"/>
      <c r="B78" s="29"/>
      <c r="C78" s="32" t="s">
        <v>328</v>
      </c>
      <c r="D78" s="62">
        <v>384849.12</v>
      </c>
      <c r="E78" s="505" t="s">
        <v>0</v>
      </c>
      <c r="F78" s="506"/>
      <c r="G78" s="506"/>
      <c r="H78" s="506"/>
      <c r="I78" s="506"/>
      <c r="J78" s="506"/>
      <c r="K78" s="374" t="s">
        <v>107</v>
      </c>
    </row>
    <row r="79" spans="1:11" ht="12.75">
      <c r="A79" s="147"/>
      <c r="B79" s="29"/>
      <c r="C79" s="32"/>
      <c r="D79" s="289"/>
      <c r="E79" s="102" t="s">
        <v>15</v>
      </c>
      <c r="F79" s="17"/>
      <c r="G79" s="17"/>
      <c r="H79" s="17"/>
      <c r="I79" s="293"/>
      <c r="J79" s="17"/>
      <c r="K79" s="375" t="s">
        <v>107</v>
      </c>
    </row>
    <row r="80" spans="1:11" ht="12.75">
      <c r="A80" s="147"/>
      <c r="B80" s="428"/>
      <c r="C80" s="31" t="s">
        <v>87</v>
      </c>
      <c r="D80" s="33">
        <f>(D75*D137)+D75</f>
        <v>1891750.7363000002</v>
      </c>
      <c r="E80" s="102" t="s">
        <v>1</v>
      </c>
      <c r="F80" s="17"/>
      <c r="G80" s="17"/>
      <c r="H80" s="17"/>
      <c r="I80" s="293"/>
      <c r="J80" s="17"/>
      <c r="K80" s="288" t="s">
        <v>107</v>
      </c>
    </row>
    <row r="81" spans="1:11" ht="12.75">
      <c r="A81" s="432"/>
      <c r="B81" s="29"/>
      <c r="C81" s="433" t="s">
        <v>284</v>
      </c>
      <c r="D81" s="289">
        <f>D80-D75</f>
        <v>98622.07630000007</v>
      </c>
      <c r="E81" s="102" t="s">
        <v>16</v>
      </c>
      <c r="F81" s="17"/>
      <c r="G81" s="17"/>
      <c r="H81" s="17"/>
      <c r="I81" s="293"/>
      <c r="J81" s="17"/>
      <c r="K81" s="288"/>
    </row>
    <row r="82" spans="1:11" ht="12.75">
      <c r="A82" s="147"/>
      <c r="B82" s="29"/>
      <c r="C82" s="32"/>
      <c r="D82" s="289"/>
      <c r="E82" s="102"/>
      <c r="F82" s="17"/>
      <c r="G82" s="17"/>
      <c r="H82" s="17"/>
      <c r="I82" s="293"/>
      <c r="J82" s="17"/>
      <c r="K82" s="288"/>
    </row>
    <row r="83" spans="1:11" ht="12.75">
      <c r="A83" s="430"/>
      <c r="B83" s="428"/>
      <c r="C83" s="431" t="s">
        <v>329</v>
      </c>
      <c r="D83" s="62">
        <v>0</v>
      </c>
      <c r="E83" s="102" t="s">
        <v>413</v>
      </c>
      <c r="F83" s="17"/>
      <c r="G83" s="17"/>
      <c r="H83" s="17"/>
      <c r="I83" s="293"/>
      <c r="J83" s="17"/>
      <c r="K83" s="311" t="s">
        <v>330</v>
      </c>
    </row>
    <row r="84" spans="1:11" ht="12.75">
      <c r="A84" s="147"/>
      <c r="B84" s="405"/>
      <c r="C84" s="488"/>
      <c r="D84" s="289"/>
      <c r="E84" s="290"/>
      <c r="F84" s="30"/>
      <c r="G84" s="30"/>
      <c r="H84" s="30"/>
      <c r="I84" s="291"/>
      <c r="J84" s="30"/>
      <c r="K84" s="489"/>
    </row>
    <row r="85" spans="1:11" ht="12.75">
      <c r="A85" s="424" t="s">
        <v>58</v>
      </c>
      <c r="B85" s="490" t="s">
        <v>414</v>
      </c>
      <c r="C85" s="490"/>
      <c r="D85" s="289"/>
      <c r="E85" s="491" t="s">
        <v>415</v>
      </c>
      <c r="F85" s="492"/>
      <c r="G85" s="30"/>
      <c r="H85" s="30"/>
      <c r="I85" s="291"/>
      <c r="J85" s="30"/>
      <c r="K85" s="489"/>
    </row>
    <row r="86" spans="1:11" ht="12.75">
      <c r="A86" s="424"/>
      <c r="B86" s="110" t="s">
        <v>416</v>
      </c>
      <c r="C86" s="110"/>
      <c r="D86" s="289"/>
      <c r="E86" s="290"/>
      <c r="F86" s="30"/>
      <c r="G86" s="30"/>
      <c r="H86" s="30"/>
      <c r="I86" s="291"/>
      <c r="J86" s="30"/>
      <c r="K86" s="292"/>
    </row>
    <row r="87" spans="1:11" ht="12.75">
      <c r="A87" s="195"/>
      <c r="B87" s="110"/>
      <c r="C87" s="110"/>
      <c r="D87" s="289"/>
      <c r="E87" s="290"/>
      <c r="F87" s="30"/>
      <c r="G87" s="30"/>
      <c r="H87" s="30"/>
      <c r="I87" s="291"/>
      <c r="J87" s="30"/>
      <c r="K87" s="292"/>
    </row>
    <row r="88" spans="1:11" ht="12.75">
      <c r="A88" s="430"/>
      <c r="B88" s="428"/>
      <c r="C88" s="431" t="s">
        <v>68</v>
      </c>
      <c r="D88" s="289"/>
      <c r="E88" s="491" t="s">
        <v>417</v>
      </c>
      <c r="F88" s="30"/>
      <c r="G88" s="30"/>
      <c r="H88" s="30"/>
      <c r="I88" s="291"/>
      <c r="J88" s="30"/>
      <c r="K88" s="292"/>
    </row>
    <row r="89" spans="1:11" ht="12.75">
      <c r="A89" s="147"/>
      <c r="B89" s="29"/>
      <c r="C89" s="32" t="s">
        <v>263</v>
      </c>
      <c r="D89" s="62">
        <v>18900</v>
      </c>
      <c r="E89" s="102" t="s">
        <v>286</v>
      </c>
      <c r="F89" s="17"/>
      <c r="G89" s="17"/>
      <c r="H89" s="17"/>
      <c r="I89" s="293"/>
      <c r="J89" s="17"/>
      <c r="K89" s="288"/>
    </row>
    <row r="90" spans="1:11" ht="12.75">
      <c r="A90" s="147"/>
      <c r="B90" s="29"/>
      <c r="C90" s="32" t="s">
        <v>264</v>
      </c>
      <c r="D90" s="62">
        <v>1245</v>
      </c>
      <c r="E90" s="102" t="s">
        <v>88</v>
      </c>
      <c r="F90" s="17"/>
      <c r="G90" s="17"/>
      <c r="H90" s="17"/>
      <c r="I90" s="293"/>
      <c r="J90" s="17"/>
      <c r="K90" s="288"/>
    </row>
    <row r="91" spans="1:11" ht="12.75">
      <c r="A91" s="147"/>
      <c r="B91" s="29"/>
      <c r="C91" s="32" t="s">
        <v>233</v>
      </c>
      <c r="D91" s="62">
        <v>8642.52</v>
      </c>
      <c r="E91" s="102" t="s">
        <v>2</v>
      </c>
      <c r="F91" s="17"/>
      <c r="G91" s="17"/>
      <c r="H91" s="17"/>
      <c r="I91" s="293"/>
      <c r="J91" s="17"/>
      <c r="K91" s="288"/>
    </row>
    <row r="92" spans="1:11" ht="12.75">
      <c r="A92" s="147"/>
      <c r="B92" s="29"/>
      <c r="C92" s="32" t="s">
        <v>258</v>
      </c>
      <c r="D92" s="62">
        <v>435</v>
      </c>
      <c r="E92" s="102" t="s">
        <v>17</v>
      </c>
      <c r="F92" s="17"/>
      <c r="G92" s="17"/>
      <c r="H92" s="17"/>
      <c r="I92" s="293"/>
      <c r="J92" s="17"/>
      <c r="K92" s="288"/>
    </row>
    <row r="93" spans="1:11" ht="12.75">
      <c r="A93" s="147"/>
      <c r="B93" s="29"/>
      <c r="C93" s="32" t="s">
        <v>109</v>
      </c>
      <c r="D93" s="33">
        <f>SUM(D89:D92)</f>
        <v>29222.52</v>
      </c>
      <c r="E93" s="102"/>
      <c r="F93" s="17"/>
      <c r="G93" s="17"/>
      <c r="H93" s="17"/>
      <c r="I93" s="293"/>
      <c r="J93" s="17"/>
      <c r="K93" s="288"/>
    </row>
    <row r="94" spans="1:11" ht="12.75">
      <c r="A94" s="12"/>
      <c r="B94" s="13"/>
      <c r="C94" s="10"/>
      <c r="D94" s="63"/>
      <c r="E94" s="19"/>
      <c r="F94" s="196"/>
      <c r="G94" s="196"/>
      <c r="H94" s="197"/>
      <c r="I94" s="198"/>
      <c r="J94" s="199"/>
      <c r="K94" s="200"/>
    </row>
    <row r="95" spans="1:11" ht="12.75">
      <c r="A95" s="50"/>
      <c r="B95" s="428"/>
      <c r="C95" s="31" t="s">
        <v>288</v>
      </c>
      <c r="D95" s="63"/>
      <c r="E95" s="460" t="s">
        <v>418</v>
      </c>
      <c r="F95" s="196"/>
      <c r="G95" s="196"/>
      <c r="H95" s="197"/>
      <c r="I95" s="198"/>
      <c r="J95" s="199"/>
      <c r="K95" s="200"/>
    </row>
    <row r="96" spans="1:11" ht="12.75">
      <c r="A96" s="12"/>
      <c r="B96" s="240"/>
      <c r="C96" s="429" t="s">
        <v>25</v>
      </c>
      <c r="D96" s="62">
        <v>60.84</v>
      </c>
      <c r="E96" s="505" t="s">
        <v>18</v>
      </c>
      <c r="F96" s="506"/>
      <c r="G96" s="506"/>
      <c r="H96" s="506"/>
      <c r="I96" s="506"/>
      <c r="J96" s="506"/>
      <c r="K96" s="248" t="s">
        <v>199</v>
      </c>
    </row>
    <row r="97" spans="1:11" ht="12.75">
      <c r="A97" s="12"/>
      <c r="B97" s="13"/>
      <c r="C97" s="241" t="s">
        <v>26</v>
      </c>
      <c r="D97" s="209">
        <f>D138</f>
        <v>0.017</v>
      </c>
      <c r="E97" s="484" t="s">
        <v>240</v>
      </c>
      <c r="F97" s="484"/>
      <c r="G97" s="484"/>
      <c r="H97" s="484"/>
      <c r="I97" s="484"/>
      <c r="J97" s="484"/>
      <c r="K97" s="257" t="s">
        <v>211</v>
      </c>
    </row>
    <row r="98" spans="1:11" ht="12.75">
      <c r="A98" s="12"/>
      <c r="B98" s="13"/>
      <c r="C98" s="32" t="s">
        <v>19</v>
      </c>
      <c r="D98" s="48">
        <f>D96*D71</f>
        <v>70334.6904</v>
      </c>
      <c r="E98" s="242" t="s">
        <v>255</v>
      </c>
      <c r="F98" s="242"/>
      <c r="G98" s="242"/>
      <c r="H98" s="242"/>
      <c r="I98" s="242"/>
      <c r="J98" s="242"/>
      <c r="K98" s="312"/>
    </row>
    <row r="99" spans="1:11" ht="12.75">
      <c r="A99" s="12"/>
      <c r="B99" s="240"/>
      <c r="C99" s="241" t="s">
        <v>27</v>
      </c>
      <c r="D99" s="493">
        <v>0.015</v>
      </c>
      <c r="E99" s="36" t="s">
        <v>379</v>
      </c>
      <c r="F99" s="99"/>
      <c r="G99" s="99"/>
      <c r="H99" s="24"/>
      <c r="I99" s="37"/>
      <c r="J99" s="7"/>
      <c r="K99" s="258" t="s">
        <v>211</v>
      </c>
    </row>
    <row r="100" spans="1:11" ht="12.75">
      <c r="A100" s="12"/>
      <c r="B100" s="13"/>
      <c r="C100" s="241" t="s">
        <v>28</v>
      </c>
      <c r="D100" s="493">
        <v>0.015</v>
      </c>
      <c r="E100" s="36" t="s">
        <v>380</v>
      </c>
      <c r="F100" s="99"/>
      <c r="G100" s="99"/>
      <c r="H100" s="24"/>
      <c r="I100" s="37"/>
      <c r="J100" s="7"/>
      <c r="K100" s="258" t="s">
        <v>211</v>
      </c>
    </row>
    <row r="101" spans="1:11" ht="12.75">
      <c r="A101" s="12"/>
      <c r="B101" s="13"/>
      <c r="C101" s="241" t="s">
        <v>29</v>
      </c>
      <c r="D101" s="64">
        <f>D98*(D99+D100)</f>
        <v>2110.040712</v>
      </c>
      <c r="E101" s="36" t="s">
        <v>287</v>
      </c>
      <c r="F101" s="99"/>
      <c r="G101" s="99"/>
      <c r="H101" s="24"/>
      <c r="I101" s="37"/>
      <c r="J101" s="7"/>
      <c r="K101" s="11"/>
    </row>
    <row r="102" spans="1:11" ht="12.75">
      <c r="A102" s="147"/>
      <c r="B102" s="29"/>
      <c r="C102" s="31" t="s">
        <v>124</v>
      </c>
      <c r="D102" s="48">
        <f>D98-D101</f>
        <v>68224.649688</v>
      </c>
      <c r="E102" s="36" t="s">
        <v>85</v>
      </c>
      <c r="F102" s="99"/>
      <c r="G102" s="99"/>
      <c r="H102" s="24"/>
      <c r="I102" s="37"/>
      <c r="J102" s="7"/>
      <c r="K102" s="11"/>
    </row>
    <row r="103" spans="1:11" ht="12.75">
      <c r="A103" s="147"/>
      <c r="B103" s="29"/>
      <c r="C103" s="31" t="s">
        <v>289</v>
      </c>
      <c r="D103" s="48"/>
      <c r="E103" s="469" t="s">
        <v>107</v>
      </c>
      <c r="F103" s="470"/>
      <c r="G103" s="470"/>
      <c r="H103" s="471"/>
      <c r="I103" s="472"/>
      <c r="J103" s="473" t="s">
        <v>107</v>
      </c>
      <c r="K103" s="474"/>
    </row>
    <row r="104" spans="1:11" ht="12.75">
      <c r="A104" s="12"/>
      <c r="B104" s="13"/>
      <c r="C104" s="32" t="s">
        <v>203</v>
      </c>
      <c r="D104" s="65">
        <v>0</v>
      </c>
      <c r="E104" s="102" t="s">
        <v>259</v>
      </c>
      <c r="F104" s="98"/>
      <c r="G104" s="98"/>
      <c r="H104" s="98"/>
      <c r="I104" s="98"/>
      <c r="J104" s="294" t="s">
        <v>107</v>
      </c>
      <c r="K104" s="248" t="s">
        <v>213</v>
      </c>
    </row>
    <row r="105" spans="1:11" ht="12.75">
      <c r="A105" s="12"/>
      <c r="B105" s="13"/>
      <c r="C105" s="10"/>
      <c r="D105" s="22"/>
      <c r="E105" s="41"/>
      <c r="F105" s="30"/>
      <c r="G105" s="30"/>
      <c r="H105" s="30"/>
      <c r="I105" s="30"/>
      <c r="J105" s="30"/>
      <c r="K105" s="30"/>
    </row>
    <row r="106" spans="1:11" s="2" customFormat="1" ht="12.75">
      <c r="A106" s="34" t="s">
        <v>70</v>
      </c>
      <c r="B106" s="29"/>
      <c r="C106" s="31"/>
      <c r="D106" s="33"/>
      <c r="E106" s="106" t="s">
        <v>108</v>
      </c>
      <c r="F106" s="223" t="s">
        <v>107</v>
      </c>
      <c r="G106" s="223"/>
      <c r="H106" s="224"/>
      <c r="I106" s="94"/>
      <c r="J106" s="235" t="s">
        <v>111</v>
      </c>
      <c r="K106" s="94"/>
    </row>
    <row r="107" spans="1:11" ht="12.75">
      <c r="A107" s="181" t="s">
        <v>171</v>
      </c>
      <c r="B107" s="182"/>
      <c r="C107" s="188" t="s">
        <v>131</v>
      </c>
      <c r="D107" s="189">
        <v>83237</v>
      </c>
      <c r="E107" s="180">
        <f>D107/D123</f>
        <v>0.04399998278843015</v>
      </c>
      <c r="F107" s="96" t="s">
        <v>368</v>
      </c>
      <c r="G107" s="96"/>
      <c r="H107" s="98"/>
      <c r="I107" s="98"/>
      <c r="J107" s="98"/>
      <c r="K107" s="249" t="s">
        <v>214</v>
      </c>
    </row>
    <row r="108" spans="1:11" ht="12.75">
      <c r="A108" s="183"/>
      <c r="B108" s="184"/>
      <c r="C108" s="148" t="s">
        <v>132</v>
      </c>
      <c r="D108" s="190">
        <v>0</v>
      </c>
      <c r="E108" s="180">
        <f>D108/D123</f>
        <v>0</v>
      </c>
      <c r="F108" s="96" t="s">
        <v>369</v>
      </c>
      <c r="G108" s="96"/>
      <c r="H108" s="98"/>
      <c r="I108" s="98"/>
      <c r="J108" s="98"/>
      <c r="K108" s="249" t="s">
        <v>214</v>
      </c>
    </row>
    <row r="109" spans="1:11" ht="12.75">
      <c r="A109" s="183"/>
      <c r="B109" s="184"/>
      <c r="C109" s="148" t="s">
        <v>133</v>
      </c>
      <c r="D109" s="190">
        <v>75000</v>
      </c>
      <c r="E109" s="180">
        <f>D109/D123</f>
        <v>0.03964581507181015</v>
      </c>
      <c r="F109" s="96"/>
      <c r="G109" s="96"/>
      <c r="H109" s="98"/>
      <c r="I109" s="98"/>
      <c r="J109" s="98"/>
      <c r="K109" s="336" t="s">
        <v>107</v>
      </c>
    </row>
    <row r="110" spans="1:11" ht="12.75">
      <c r="A110" s="183"/>
      <c r="B110" s="184"/>
      <c r="C110" s="148" t="s">
        <v>135</v>
      </c>
      <c r="D110" s="190">
        <v>60116</v>
      </c>
      <c r="E110" s="180">
        <f>D110/D123</f>
        <v>0.03177797091809252</v>
      </c>
      <c r="F110" s="96" t="s">
        <v>369</v>
      </c>
      <c r="G110" s="96"/>
      <c r="H110" s="98"/>
      <c r="I110" s="98"/>
      <c r="J110" s="98"/>
      <c r="K110" s="249" t="s">
        <v>214</v>
      </c>
    </row>
    <row r="111" spans="1:11" ht="12.75">
      <c r="A111" s="183"/>
      <c r="B111" s="184"/>
      <c r="C111" s="148" t="s">
        <v>134</v>
      </c>
      <c r="D111" s="190">
        <v>0</v>
      </c>
      <c r="E111" s="180">
        <f>D111/D123</f>
        <v>0</v>
      </c>
      <c r="F111" s="96" t="s">
        <v>369</v>
      </c>
      <c r="G111" s="96"/>
      <c r="H111" s="98"/>
      <c r="I111" s="98"/>
      <c r="J111" s="98"/>
      <c r="K111" s="249" t="s">
        <v>214</v>
      </c>
    </row>
    <row r="112" spans="1:11" ht="12.75">
      <c r="A112" s="183"/>
      <c r="B112" s="184"/>
      <c r="C112" s="148" t="s">
        <v>136</v>
      </c>
      <c r="D112" s="190">
        <v>0</v>
      </c>
      <c r="E112" s="180">
        <f>D112/D123</f>
        <v>0</v>
      </c>
      <c r="F112" s="96" t="s">
        <v>369</v>
      </c>
      <c r="G112" s="96"/>
      <c r="H112" s="98"/>
      <c r="I112" s="98"/>
      <c r="J112" s="98"/>
      <c r="K112" s="249" t="s">
        <v>214</v>
      </c>
    </row>
    <row r="113" spans="1:11" ht="12.75">
      <c r="A113" s="183"/>
      <c r="B113" s="184"/>
      <c r="C113" s="148" t="s">
        <v>137</v>
      </c>
      <c r="D113" s="190">
        <v>0</v>
      </c>
      <c r="E113" s="180">
        <f>D113/D123</f>
        <v>0</v>
      </c>
      <c r="F113" s="96" t="s">
        <v>369</v>
      </c>
      <c r="G113" s="96"/>
      <c r="H113" s="98"/>
      <c r="I113" s="98"/>
      <c r="J113" s="98"/>
      <c r="K113" s="249" t="s">
        <v>214</v>
      </c>
    </row>
    <row r="114" spans="1:11" ht="12.75">
      <c r="A114" s="183"/>
      <c r="B114" s="184"/>
      <c r="C114" s="148" t="s">
        <v>138</v>
      </c>
      <c r="D114" s="190">
        <v>36000</v>
      </c>
      <c r="E114" s="180">
        <f>D114/D123</f>
        <v>0.01902999123446887</v>
      </c>
      <c r="F114" s="96" t="s">
        <v>20</v>
      </c>
      <c r="G114" s="96"/>
      <c r="H114" s="98"/>
      <c r="I114" s="98"/>
      <c r="J114" s="98"/>
      <c r="K114" s="249" t="s">
        <v>214</v>
      </c>
    </row>
    <row r="115" spans="1:11" ht="12.75">
      <c r="A115" s="183"/>
      <c r="B115" s="184"/>
      <c r="C115" s="191" t="s">
        <v>139</v>
      </c>
      <c r="D115" s="192">
        <v>0</v>
      </c>
      <c r="E115" s="180">
        <f>D115/D123</f>
        <v>0</v>
      </c>
      <c r="F115" s="96" t="s">
        <v>368</v>
      </c>
      <c r="G115" s="96"/>
      <c r="H115" s="98"/>
      <c r="I115" s="98"/>
      <c r="J115" s="98"/>
      <c r="K115" s="249" t="s">
        <v>214</v>
      </c>
    </row>
    <row r="116" spans="1:11" ht="12.75">
      <c r="A116" s="50"/>
      <c r="B116" s="185"/>
      <c r="C116" s="10" t="s">
        <v>69</v>
      </c>
      <c r="D116" s="33">
        <f>SUM(D107:D115)</f>
        <v>254353</v>
      </c>
      <c r="E116" s="180">
        <f>SUM(E107:E115)</f>
        <v>0.13445376001280168</v>
      </c>
      <c r="F116" s="96" t="s">
        <v>291</v>
      </c>
      <c r="G116" s="96"/>
      <c r="H116" s="98"/>
      <c r="I116" s="210">
        <f>E109</f>
        <v>0.03964581507181015</v>
      </c>
      <c r="J116" s="96" t="s">
        <v>292</v>
      </c>
      <c r="K116" s="17"/>
    </row>
    <row r="117" spans="1:11" ht="12.75">
      <c r="A117" s="186" t="s">
        <v>96</v>
      </c>
      <c r="B117" s="187"/>
      <c r="C117" s="330" t="s">
        <v>300</v>
      </c>
      <c r="D117" s="318">
        <f>87308.97+88.77</f>
        <v>87397.74</v>
      </c>
      <c r="E117" s="180">
        <f>D117/D123</f>
        <v>0.0461993951697886</v>
      </c>
      <c r="F117" s="96" t="s">
        <v>299</v>
      </c>
      <c r="G117" s="96"/>
      <c r="H117" s="98"/>
      <c r="I117" s="98"/>
      <c r="J117" s="98"/>
      <c r="K117" s="249" t="s">
        <v>212</v>
      </c>
    </row>
    <row r="118" spans="1:11" ht="12.75">
      <c r="A118" s="34" t="s">
        <v>83</v>
      </c>
      <c r="B118" s="13"/>
      <c r="C118" s="10"/>
      <c r="D118" s="22"/>
      <c r="E118" s="180" t="s">
        <v>107</v>
      </c>
      <c r="F118" s="97" t="s">
        <v>140</v>
      </c>
      <c r="G118" s="97" t="s">
        <v>110</v>
      </c>
      <c r="H118" s="250" t="s">
        <v>224</v>
      </c>
      <c r="I118" s="339"/>
      <c r="J118" s="17"/>
      <c r="K118" s="17"/>
    </row>
    <row r="119" spans="1:11" ht="12.75">
      <c r="A119" s="181" t="s">
        <v>107</v>
      </c>
      <c r="B119" s="182"/>
      <c r="C119" s="188" t="s">
        <v>120</v>
      </c>
      <c r="D119" s="189">
        <v>1097200</v>
      </c>
      <c r="E119" s="180">
        <f>D119/D123</f>
        <v>0.5799918439572013</v>
      </c>
      <c r="F119" s="340">
        <v>0.031</v>
      </c>
      <c r="G119" s="269">
        <v>40</v>
      </c>
      <c r="H119" s="337" t="s">
        <v>21</v>
      </c>
      <c r="I119" s="337"/>
      <c r="J119" s="166"/>
      <c r="K119" s="249" t="s">
        <v>215</v>
      </c>
    </row>
    <row r="120" spans="1:11" ht="12.75">
      <c r="A120" s="183"/>
      <c r="B120" s="184"/>
      <c r="C120" s="148" t="s">
        <v>125</v>
      </c>
      <c r="D120" s="190">
        <v>302800</v>
      </c>
      <c r="E120" s="180">
        <f>D120/D123</f>
        <v>0.16006337071658816</v>
      </c>
      <c r="F120" s="340">
        <v>0.031</v>
      </c>
      <c r="G120" s="269">
        <v>50</v>
      </c>
      <c r="H120" s="337" t="s">
        <v>22</v>
      </c>
      <c r="I120" s="338"/>
      <c r="J120" s="17"/>
      <c r="K120" s="249" t="s">
        <v>215</v>
      </c>
    </row>
    <row r="121" spans="1:11" ht="12.75">
      <c r="A121" s="183"/>
      <c r="B121" s="184"/>
      <c r="C121" s="148" t="s">
        <v>126</v>
      </c>
      <c r="D121" s="190">
        <v>150000</v>
      </c>
      <c r="E121" s="180">
        <f>D121/D123</f>
        <v>0.0792916301436203</v>
      </c>
      <c r="F121" s="340">
        <v>0.01</v>
      </c>
      <c r="G121" s="269">
        <v>20</v>
      </c>
      <c r="H121" s="337" t="s">
        <v>23</v>
      </c>
      <c r="I121" s="338"/>
      <c r="J121" s="17"/>
      <c r="K121" s="249" t="s">
        <v>215</v>
      </c>
    </row>
    <row r="122" spans="1:11" ht="12.75">
      <c r="A122" s="183"/>
      <c r="B122" s="184"/>
      <c r="C122" s="148" t="s">
        <v>127</v>
      </c>
      <c r="D122" s="190">
        <v>0</v>
      </c>
      <c r="E122" s="180">
        <f>D122/D123</f>
        <v>0</v>
      </c>
      <c r="F122" s="340">
        <v>0.04</v>
      </c>
      <c r="G122" s="269">
        <v>10</v>
      </c>
      <c r="H122" s="337" t="s">
        <v>24</v>
      </c>
      <c r="I122" s="338"/>
      <c r="J122" s="17"/>
      <c r="K122" s="249" t="s">
        <v>215</v>
      </c>
    </row>
    <row r="123" spans="1:11" ht="12.75">
      <c r="A123" s="186" t="s">
        <v>109</v>
      </c>
      <c r="B123" s="187"/>
      <c r="C123" s="193" t="s">
        <v>172</v>
      </c>
      <c r="D123" s="194">
        <f>SUM(D116:D122)</f>
        <v>1891750.74</v>
      </c>
      <c r="E123" s="327">
        <f>SUM(E107:E122)-E116</f>
        <v>1</v>
      </c>
      <c r="F123" s="98"/>
      <c r="G123" s="17"/>
      <c r="H123" s="17"/>
      <c r="I123" s="17"/>
      <c r="J123" s="17"/>
      <c r="K123" s="17"/>
    </row>
    <row r="124" spans="1:11" ht="12.75">
      <c r="A124" s="260"/>
      <c r="B124" s="184"/>
      <c r="C124" s="148"/>
      <c r="D124" s="33" t="s">
        <v>107</v>
      </c>
      <c r="E124" s="328"/>
      <c r="F124" s="98"/>
      <c r="G124" s="17"/>
      <c r="H124" s="17"/>
      <c r="I124" s="17"/>
      <c r="J124" s="17"/>
      <c r="K124" s="17"/>
    </row>
    <row r="125" spans="1:11" ht="12.75">
      <c r="A125" s="260" t="s">
        <v>293</v>
      </c>
      <c r="B125" s="184"/>
      <c r="C125" s="148"/>
      <c r="D125" s="33"/>
      <c r="E125" s="328"/>
      <c r="F125" s="98"/>
      <c r="G125" s="17"/>
      <c r="H125" s="17"/>
      <c r="I125" s="17"/>
      <c r="J125" s="17"/>
      <c r="K125" s="17"/>
    </row>
    <row r="126" spans="1:11" ht="12.75">
      <c r="A126" s="427"/>
      <c r="B126" s="182"/>
      <c r="C126" s="188" t="s">
        <v>294</v>
      </c>
      <c r="D126" s="33">
        <f>SUM(D119:D122)</f>
        <v>1550000</v>
      </c>
      <c r="E126" s="329">
        <f>D126/D123</f>
        <v>0.8193468448174097</v>
      </c>
      <c r="F126" s="96" t="s">
        <v>290</v>
      </c>
      <c r="G126" s="96"/>
      <c r="H126" s="17"/>
      <c r="I126" s="17"/>
      <c r="J126" s="17"/>
      <c r="K126" s="17"/>
    </row>
    <row r="127" spans="1:11" ht="12.75">
      <c r="A127" s="12"/>
      <c r="B127" s="240"/>
      <c r="C127" s="241" t="s">
        <v>30</v>
      </c>
      <c r="D127" s="33">
        <f>D117</f>
        <v>87397.74</v>
      </c>
      <c r="E127" s="329">
        <f>E117</f>
        <v>0.0461993951697886</v>
      </c>
      <c r="F127" s="96" t="s">
        <v>296</v>
      </c>
      <c r="G127" s="96"/>
      <c r="H127" s="17"/>
      <c r="I127" s="17"/>
      <c r="J127" s="17"/>
      <c r="K127" s="17"/>
    </row>
    <row r="128" spans="1:11" ht="12.75">
      <c r="A128" s="12"/>
      <c r="B128" s="13"/>
      <c r="C128" s="10" t="s">
        <v>317</v>
      </c>
      <c r="D128" s="33">
        <f>D116</f>
        <v>254353</v>
      </c>
      <c r="E128" s="329">
        <f>E116</f>
        <v>0.13445376001280168</v>
      </c>
      <c r="F128" s="96" t="s">
        <v>297</v>
      </c>
      <c r="G128" s="96"/>
      <c r="H128" s="17"/>
      <c r="I128" s="17"/>
      <c r="J128" s="17"/>
      <c r="K128" s="17"/>
    </row>
    <row r="129" spans="1:11" ht="12.75">
      <c r="A129" s="12"/>
      <c r="B129" s="13"/>
      <c r="C129" s="10" t="s">
        <v>295</v>
      </c>
      <c r="D129" s="33">
        <f>D109</f>
        <v>75000</v>
      </c>
      <c r="E129" s="329">
        <f>E109</f>
        <v>0.03964581507181015</v>
      </c>
      <c r="F129" s="96" t="s">
        <v>298</v>
      </c>
      <c r="G129" s="96"/>
      <c r="H129" s="17"/>
      <c r="I129" s="17"/>
      <c r="J129" s="17"/>
      <c r="K129" s="17"/>
    </row>
    <row r="130" spans="1:11" ht="12.75">
      <c r="A130" s="12"/>
      <c r="B130" s="13"/>
      <c r="C130" s="10"/>
      <c r="D130" s="33"/>
      <c r="E130" s="180"/>
      <c r="F130" s="96"/>
      <c r="G130" s="96"/>
      <c r="H130" s="17"/>
      <c r="I130" s="17"/>
      <c r="J130" s="17"/>
      <c r="K130" s="17"/>
    </row>
    <row r="131" spans="1:11" ht="12.75">
      <c r="A131" s="34" t="s">
        <v>217</v>
      </c>
      <c r="B131" s="13"/>
      <c r="C131" s="191"/>
      <c r="D131" s="33"/>
      <c r="E131" s="486" t="s">
        <v>31</v>
      </c>
      <c r="F131" s="506"/>
      <c r="G131" s="506"/>
      <c r="H131" s="506"/>
      <c r="I131" s="506"/>
      <c r="J131" s="506"/>
      <c r="K131" s="17"/>
    </row>
    <row r="132" spans="1:11" ht="12.75">
      <c r="A132" s="427"/>
      <c r="B132" s="182"/>
      <c r="C132" s="10" t="s">
        <v>217</v>
      </c>
      <c r="D132" s="62">
        <v>0</v>
      </c>
      <c r="E132" s="102" t="s">
        <v>32</v>
      </c>
      <c r="F132" s="98"/>
      <c r="G132" s="98"/>
      <c r="H132" s="98"/>
      <c r="I132" s="98"/>
      <c r="J132" s="392">
        <f>D126*D141</f>
        <v>31000</v>
      </c>
      <c r="K132" s="249" t="s">
        <v>221</v>
      </c>
    </row>
    <row r="133" spans="1:11" ht="12.75">
      <c r="A133" s="12"/>
      <c r="B133" s="13"/>
      <c r="C133" s="10" t="s">
        <v>107</v>
      </c>
      <c r="D133" s="22" t="s">
        <v>107</v>
      </c>
      <c r="E133" s="41" t="s">
        <v>107</v>
      </c>
      <c r="F133" s="30"/>
      <c r="G133" s="30"/>
      <c r="H133" s="30"/>
      <c r="I133" s="30"/>
      <c r="J133" s="30"/>
      <c r="K133" s="393" t="s">
        <v>33</v>
      </c>
    </row>
    <row r="134" spans="1:11" ht="12.75">
      <c r="A134" s="496" t="s">
        <v>95</v>
      </c>
      <c r="B134" s="497"/>
      <c r="C134" s="274" t="s">
        <v>62</v>
      </c>
      <c r="D134" s="269">
        <v>2010</v>
      </c>
      <c r="E134" s="242" t="s">
        <v>305</v>
      </c>
      <c r="F134" s="335"/>
      <c r="G134" s="335"/>
      <c r="H134" s="331"/>
      <c r="I134" s="332"/>
      <c r="J134" s="333"/>
      <c r="K134" s="334"/>
    </row>
    <row r="135" spans="1:11" ht="12.75">
      <c r="A135" s="12"/>
      <c r="B135" s="13"/>
      <c r="C135" s="188" t="s">
        <v>192</v>
      </c>
      <c r="D135" s="38">
        <v>0.0275</v>
      </c>
      <c r="E135" s="225" t="s">
        <v>306</v>
      </c>
      <c r="F135" s="17"/>
      <c r="G135" s="17"/>
      <c r="H135" s="17"/>
      <c r="I135" s="17"/>
      <c r="J135" s="9"/>
      <c r="K135" s="258" t="s">
        <v>211</v>
      </c>
    </row>
    <row r="136" spans="1:11" ht="12.75">
      <c r="A136" s="12"/>
      <c r="B136" s="13"/>
      <c r="C136" s="10" t="s">
        <v>260</v>
      </c>
      <c r="D136" s="66">
        <v>0.196</v>
      </c>
      <c r="E136" s="225" t="s">
        <v>409</v>
      </c>
      <c r="F136" s="17"/>
      <c r="G136" s="17"/>
      <c r="H136" s="17"/>
      <c r="I136" s="17"/>
      <c r="J136" s="9"/>
      <c r="K136" s="303"/>
    </row>
    <row r="137" spans="1:11" ht="12.75">
      <c r="A137" s="12"/>
      <c r="B137" s="13"/>
      <c r="C137" s="10" t="s">
        <v>261</v>
      </c>
      <c r="D137" s="66">
        <v>0.055</v>
      </c>
      <c r="E137" s="225" t="s">
        <v>409</v>
      </c>
      <c r="F137" s="17"/>
      <c r="G137" s="17"/>
      <c r="H137" s="17"/>
      <c r="I137" s="17"/>
      <c r="J137" s="9"/>
      <c r="K137" s="8"/>
    </row>
    <row r="138" spans="1:11" ht="12.75">
      <c r="A138" s="12"/>
      <c r="B138" s="13"/>
      <c r="C138" s="10" t="s">
        <v>141</v>
      </c>
      <c r="D138" s="38">
        <v>0.017</v>
      </c>
      <c r="E138" s="100" t="s">
        <v>323</v>
      </c>
      <c r="F138" s="101"/>
      <c r="G138" s="52"/>
      <c r="H138" s="53"/>
      <c r="I138" s="54"/>
      <c r="J138" s="55"/>
      <c r="K138" s="259" t="s">
        <v>211</v>
      </c>
    </row>
    <row r="139" spans="1:12" ht="12.75">
      <c r="A139" s="12"/>
      <c r="B139" s="13"/>
      <c r="C139" s="10" t="s">
        <v>193</v>
      </c>
      <c r="D139" s="38">
        <v>0.015</v>
      </c>
      <c r="E139" s="100" t="s">
        <v>323</v>
      </c>
      <c r="F139" s="101"/>
      <c r="G139" s="52"/>
      <c r="H139" s="53"/>
      <c r="I139" s="54"/>
      <c r="J139" s="55"/>
      <c r="K139" s="259" t="s">
        <v>211</v>
      </c>
      <c r="L139" s="211"/>
    </row>
    <row r="140" spans="1:12" ht="12.75">
      <c r="A140" s="12"/>
      <c r="B140" s="13"/>
      <c r="C140" s="10" t="s">
        <v>194</v>
      </c>
      <c r="D140" s="38">
        <v>0.015</v>
      </c>
      <c r="E140" s="100" t="s">
        <v>323</v>
      </c>
      <c r="F140" s="101"/>
      <c r="G140" s="52"/>
      <c r="H140" s="53"/>
      <c r="I140" s="54"/>
      <c r="J140" s="55"/>
      <c r="K140" s="259" t="s">
        <v>211</v>
      </c>
      <c r="L140" s="211"/>
    </row>
    <row r="141" spans="1:12" ht="12.75">
      <c r="A141" s="12"/>
      <c r="B141" s="13"/>
      <c r="C141" s="10" t="s">
        <v>130</v>
      </c>
      <c r="D141" s="38">
        <v>0.02</v>
      </c>
      <c r="E141" s="100" t="s">
        <v>301</v>
      </c>
      <c r="F141" s="101"/>
      <c r="G141" s="52"/>
      <c r="H141" s="53"/>
      <c r="I141" s="54"/>
      <c r="J141" s="55"/>
      <c r="K141" s="259" t="s">
        <v>211</v>
      </c>
      <c r="L141" s="211"/>
    </row>
    <row r="142" spans="1:12" ht="12.75">
      <c r="A142" s="12"/>
      <c r="B142" s="13"/>
      <c r="C142" s="10" t="s">
        <v>262</v>
      </c>
      <c r="D142" s="461">
        <f>G119</f>
        <v>40</v>
      </c>
      <c r="E142" s="100" t="s">
        <v>412</v>
      </c>
      <c r="F142" s="101"/>
      <c r="G142" s="52"/>
      <c r="H142" s="53"/>
      <c r="I142" s="54"/>
      <c r="J142" s="55"/>
      <c r="K142" s="302"/>
      <c r="L142" s="211"/>
    </row>
    <row r="143" spans="1:11" ht="13.5" thickBot="1">
      <c r="A143" s="12"/>
      <c r="B143" s="13"/>
      <c r="C143" s="10"/>
      <c r="D143" s="38"/>
      <c r="E143" s="153"/>
      <c r="F143" s="154"/>
      <c r="G143" s="68"/>
      <c r="H143" s="155"/>
      <c r="I143" s="69"/>
      <c r="J143" s="156"/>
      <c r="K143" s="149"/>
    </row>
    <row r="144" spans="1:11" s="6" customFormat="1" ht="13.5" thickBot="1">
      <c r="A144" s="440" t="s">
        <v>371</v>
      </c>
      <c r="B144" s="441"/>
      <c r="C144" s="442"/>
      <c r="D144" s="443"/>
      <c r="E144" s="444"/>
      <c r="F144" s="445" t="s">
        <v>107</v>
      </c>
      <c r="G144" s="446"/>
      <c r="H144" s="447"/>
      <c r="I144" s="448"/>
      <c r="J144" s="449"/>
      <c r="K144" s="450"/>
    </row>
    <row r="145" spans="1:11" ht="12.75">
      <c r="A145" s="195" t="s">
        <v>304</v>
      </c>
      <c r="B145" s="72"/>
      <c r="C145" s="16"/>
      <c r="D145" s="38"/>
      <c r="E145" s="67"/>
      <c r="F145" s="434"/>
      <c r="G145" s="68"/>
      <c r="H145" s="73"/>
      <c r="I145" s="69"/>
      <c r="J145" s="74"/>
      <c r="K145" s="68"/>
    </row>
    <row r="146" spans="1:11" ht="12.75">
      <c r="A146" s="195" t="s">
        <v>176</v>
      </c>
      <c r="B146" s="72"/>
      <c r="C146" s="16"/>
      <c r="D146" s="38"/>
      <c r="E146" s="67"/>
      <c r="F146" s="68"/>
      <c r="G146" s="68"/>
      <c r="H146" s="73"/>
      <c r="I146" s="69"/>
      <c r="J146" s="74"/>
      <c r="K146" s="68"/>
    </row>
    <row r="147" spans="1:11" ht="12.75">
      <c r="A147" s="71"/>
      <c r="B147" s="72"/>
      <c r="C147" s="106" t="s">
        <v>144</v>
      </c>
      <c r="D147" s="107" t="s">
        <v>143</v>
      </c>
      <c r="E147" s="67"/>
      <c r="F147" s="68"/>
      <c r="G147" s="68"/>
      <c r="H147" s="73"/>
      <c r="I147" s="69"/>
      <c r="J147" s="74"/>
      <c r="K147" s="68"/>
    </row>
    <row r="148" spans="1:11" ht="13.5" thickBot="1">
      <c r="A148" s="34" t="s">
        <v>107</v>
      </c>
      <c r="B148" s="70"/>
      <c r="C148" s="14"/>
      <c r="D148" s="38"/>
      <c r="E148" s="108" t="s">
        <v>80</v>
      </c>
      <c r="F148" s="109"/>
      <c r="G148" s="109"/>
      <c r="H148" s="81"/>
      <c r="I148" s="82"/>
      <c r="J148" s="83"/>
      <c r="K148" s="84"/>
    </row>
    <row r="149" spans="1:11" ht="12.75">
      <c r="A149" s="105" t="s">
        <v>79</v>
      </c>
      <c r="B149" s="13"/>
      <c r="C149" s="112" t="s">
        <v>107</v>
      </c>
      <c r="D149" s="113">
        <f>D75</f>
        <v>1793128.6600000001</v>
      </c>
      <c r="E149" s="89" t="s">
        <v>52</v>
      </c>
      <c r="F149" s="85"/>
      <c r="G149" s="85"/>
      <c r="H149" s="76"/>
      <c r="I149" s="90"/>
      <c r="J149" s="86"/>
      <c r="K149" s="87"/>
    </row>
    <row r="150" spans="1:11" ht="12.75">
      <c r="A150" s="105" t="s">
        <v>332</v>
      </c>
      <c r="B150" s="13"/>
      <c r="C150" s="114"/>
      <c r="D150" s="115">
        <f>D81</f>
        <v>98622.07630000007</v>
      </c>
      <c r="E150" s="89" t="s">
        <v>333</v>
      </c>
      <c r="F150" s="85"/>
      <c r="G150" s="85"/>
      <c r="H150" s="76"/>
      <c r="I150" s="90"/>
      <c r="J150" s="86"/>
      <c r="K150" s="87"/>
    </row>
    <row r="151" spans="1:11" ht="12.75">
      <c r="A151" s="494" t="s">
        <v>322</v>
      </c>
      <c r="B151" s="495"/>
      <c r="C151" s="114" t="s">
        <v>107</v>
      </c>
      <c r="D151" s="115">
        <f>'Calculs détaillés'!AF7</f>
        <v>877107.1363426675</v>
      </c>
      <c r="E151" s="89" t="s">
        <v>34</v>
      </c>
      <c r="F151" s="85"/>
      <c r="G151" s="85"/>
      <c r="H151" s="76"/>
      <c r="I151" s="90"/>
      <c r="J151" s="86"/>
      <c r="K151" s="87"/>
    </row>
    <row r="152" spans="1:11" ht="12.75">
      <c r="A152" s="494" t="s">
        <v>217</v>
      </c>
      <c r="B152" s="506"/>
      <c r="C152" s="114" t="s">
        <v>107</v>
      </c>
      <c r="D152" s="115">
        <f>D132</f>
        <v>0</v>
      </c>
      <c r="E152" s="89" t="s">
        <v>49</v>
      </c>
      <c r="F152" s="85"/>
      <c r="G152" s="85"/>
      <c r="H152" s="76"/>
      <c r="I152" s="90"/>
      <c r="J152" s="86"/>
      <c r="K152" s="87"/>
    </row>
    <row r="153" spans="1:11" ht="12.75">
      <c r="A153" s="105" t="s">
        <v>334</v>
      </c>
      <c r="B153" s="236"/>
      <c r="C153" s="114"/>
      <c r="D153" s="115">
        <f>'Calculs détaillés'!AI59</f>
        <v>0</v>
      </c>
      <c r="E153" s="89" t="s">
        <v>335</v>
      </c>
      <c r="F153" s="85"/>
      <c r="G153" s="85"/>
      <c r="H153" s="76"/>
      <c r="I153" s="90"/>
      <c r="J153" s="86"/>
      <c r="K153" s="87"/>
    </row>
    <row r="154" spans="1:11" ht="12.75">
      <c r="A154" s="105" t="s">
        <v>263</v>
      </c>
      <c r="B154" s="236"/>
      <c r="C154" s="114"/>
      <c r="D154" s="115">
        <f>'Calculs détaillés'!AJ64</f>
        <v>743362.8318584084</v>
      </c>
      <c r="E154" s="89" t="s">
        <v>270</v>
      </c>
      <c r="F154" s="85"/>
      <c r="G154" s="85"/>
      <c r="H154" s="76"/>
      <c r="I154" s="90"/>
      <c r="J154" s="86"/>
      <c r="K154" s="87"/>
    </row>
    <row r="155" spans="1:11" ht="12.75">
      <c r="A155" s="105" t="s">
        <v>264</v>
      </c>
      <c r="B155" s="236"/>
      <c r="C155" s="114"/>
      <c r="D155" s="115">
        <f>'Calculs détaillés'!AK64</f>
        <v>48967.551622419</v>
      </c>
      <c r="E155" s="89" t="s">
        <v>271</v>
      </c>
      <c r="F155" s="85"/>
      <c r="G155" s="85"/>
      <c r="H155" s="76"/>
      <c r="I155" s="90"/>
      <c r="J155" s="86"/>
      <c r="K155" s="87"/>
    </row>
    <row r="156" spans="1:11" ht="12.75">
      <c r="A156" s="105" t="s">
        <v>233</v>
      </c>
      <c r="B156" s="236"/>
      <c r="C156" s="114"/>
      <c r="D156" s="115">
        <f>'Calculs détaillés'!AL64</f>
        <v>339922.1238938059</v>
      </c>
      <c r="E156" s="89" t="s">
        <v>51</v>
      </c>
      <c r="F156" s="85"/>
      <c r="G156" s="85"/>
      <c r="H156" s="76"/>
      <c r="I156" s="90"/>
      <c r="J156" s="86"/>
      <c r="K156" s="87"/>
    </row>
    <row r="157" spans="1:11" ht="12.75">
      <c r="A157" s="105" t="s">
        <v>265</v>
      </c>
      <c r="B157" s="236"/>
      <c r="C157" s="114"/>
      <c r="D157" s="115">
        <f>'Calculs détaillés'!AN64</f>
        <v>12550.498217427743</v>
      </c>
      <c r="E157" s="89" t="s">
        <v>279</v>
      </c>
      <c r="F157" s="85"/>
      <c r="G157" s="85"/>
      <c r="H157" s="76"/>
      <c r="I157" s="90"/>
      <c r="J157" s="86"/>
      <c r="K157" s="87"/>
    </row>
    <row r="158" spans="1:11" ht="12.75">
      <c r="A158" s="39" t="s">
        <v>156</v>
      </c>
      <c r="B158" s="40"/>
      <c r="C158" s="138" t="s">
        <v>107</v>
      </c>
      <c r="D158" s="116">
        <f>SUM(D149:D157)</f>
        <v>3913660.878234729</v>
      </c>
      <c r="E158" s="89" t="s">
        <v>50</v>
      </c>
      <c r="F158" s="85"/>
      <c r="G158" s="85"/>
      <c r="H158" s="76"/>
      <c r="I158" s="90"/>
      <c r="J158" s="86"/>
      <c r="K158" s="87"/>
    </row>
    <row r="159" spans="1:11" ht="12.75">
      <c r="A159" s="130" t="s">
        <v>107</v>
      </c>
      <c r="B159" s="140"/>
      <c r="C159" s="131"/>
      <c r="D159" s="141"/>
      <c r="E159" s="108" t="s">
        <v>157</v>
      </c>
      <c r="F159" s="109"/>
      <c r="G159" s="109"/>
      <c r="H159" s="81"/>
      <c r="I159" s="91"/>
      <c r="J159" s="92"/>
      <c r="K159" s="93"/>
    </row>
    <row r="160" spans="1:11" ht="12.75">
      <c r="A160" s="105" t="s">
        <v>169</v>
      </c>
      <c r="B160" s="13"/>
      <c r="C160" s="118">
        <f>'Calculs détaillés'!C64</f>
        <v>2766359.504424785</v>
      </c>
      <c r="D160" s="179" t="s">
        <v>107</v>
      </c>
      <c r="E160" s="89" t="s">
        <v>302</v>
      </c>
      <c r="F160" s="85"/>
      <c r="G160" s="85"/>
      <c r="H160" s="76"/>
      <c r="I160" s="90"/>
      <c r="J160" s="86"/>
      <c r="K160" s="87"/>
    </row>
    <row r="161" spans="1:11" ht="13.5" customHeight="1">
      <c r="A161" s="508" t="s">
        <v>179</v>
      </c>
      <c r="B161" s="509"/>
      <c r="C161" s="119">
        <f>'Calculs détaillés'!F64</f>
        <v>0</v>
      </c>
      <c r="D161" s="179" t="s">
        <v>107</v>
      </c>
      <c r="E161" s="89" t="s">
        <v>94</v>
      </c>
      <c r="F161" s="85"/>
      <c r="G161" s="85"/>
      <c r="H161" s="76"/>
      <c r="I161" s="90"/>
      <c r="J161" s="86"/>
      <c r="K161" s="87"/>
    </row>
    <row r="162" spans="1:11" ht="12.75">
      <c r="A162" s="105" t="s">
        <v>146</v>
      </c>
      <c r="B162" s="13"/>
      <c r="C162" s="118">
        <f>C160*(D139+D140)*-1</f>
        <v>-82990.78513274353</v>
      </c>
      <c r="D162" s="179" t="s">
        <v>107</v>
      </c>
      <c r="E162" s="89" t="s">
        <v>86</v>
      </c>
      <c r="F162" s="85"/>
      <c r="G162" s="85"/>
      <c r="H162" s="76"/>
      <c r="I162" s="90"/>
      <c r="J162" s="86"/>
      <c r="K162" s="87"/>
    </row>
    <row r="163" spans="1:11" ht="12.75">
      <c r="A163" s="39" t="s">
        <v>153</v>
      </c>
      <c r="B163" s="40"/>
      <c r="C163" s="132">
        <f>SUM(C160:C162)</f>
        <v>2683368.7192920414</v>
      </c>
      <c r="D163" s="178" t="s">
        <v>107</v>
      </c>
      <c r="E163" s="89" t="s">
        <v>183</v>
      </c>
      <c r="F163" s="85"/>
      <c r="G163" s="85"/>
      <c r="H163" s="76"/>
      <c r="I163" s="90"/>
      <c r="J163" s="86"/>
      <c r="K163" s="87"/>
    </row>
    <row r="164" spans="1:11" ht="12.75">
      <c r="A164" s="126"/>
      <c r="B164" s="127"/>
      <c r="C164" s="129"/>
      <c r="D164" s="128"/>
      <c r="E164" s="108" t="s">
        <v>160</v>
      </c>
      <c r="F164" s="159"/>
      <c r="G164" s="159"/>
      <c r="H164" s="81"/>
      <c r="I164" s="91"/>
      <c r="J164" s="92"/>
      <c r="K164" s="93"/>
    </row>
    <row r="165" spans="1:11" ht="12.75">
      <c r="A165" s="34" t="s">
        <v>180</v>
      </c>
      <c r="B165" s="13"/>
      <c r="C165" s="114"/>
      <c r="D165" s="116">
        <f>D158-C163</f>
        <v>1230292.1589426878</v>
      </c>
      <c r="E165" s="507" t="s">
        <v>386</v>
      </c>
      <c r="F165" s="506"/>
      <c r="G165" s="506"/>
      <c r="H165" s="506"/>
      <c r="I165" s="506"/>
      <c r="J165" s="506"/>
      <c r="K165" s="255" t="s">
        <v>97</v>
      </c>
    </row>
    <row r="166" spans="1:11" ht="12.75">
      <c r="A166" s="34" t="s">
        <v>113</v>
      </c>
      <c r="B166" s="13"/>
      <c r="C166" s="114"/>
      <c r="D166" s="116">
        <f>'Calculs détaillés'!AU64</f>
        <v>104724.83358740684</v>
      </c>
      <c r="E166" s="89" t="s">
        <v>53</v>
      </c>
      <c r="F166" s="85"/>
      <c r="G166" s="85"/>
      <c r="H166" s="76"/>
      <c r="I166" s="90"/>
      <c r="J166" s="210">
        <f>D135</f>
        <v>0.0275</v>
      </c>
      <c r="K166" s="342">
        <f>G119</f>
        <v>40</v>
      </c>
    </row>
    <row r="167" spans="1:11" ht="12.75">
      <c r="A167" s="39" t="s">
        <v>114</v>
      </c>
      <c r="B167" s="40"/>
      <c r="C167" s="117"/>
      <c r="D167" s="116">
        <f>D165+D166</f>
        <v>1335016.9925300947</v>
      </c>
      <c r="E167" s="89" t="s">
        <v>107</v>
      </c>
      <c r="F167" s="85"/>
      <c r="G167" s="85"/>
      <c r="H167" s="76"/>
      <c r="I167" s="90"/>
      <c r="J167" s="86"/>
      <c r="K167" s="87" t="s">
        <v>182</v>
      </c>
    </row>
    <row r="168" spans="1:11" ht="12.75">
      <c r="A168" s="130"/>
      <c r="B168" s="127"/>
      <c r="C168" s="131"/>
      <c r="D168" s="128"/>
      <c r="E168" s="108" t="s">
        <v>163</v>
      </c>
      <c r="F168" s="159"/>
      <c r="G168" s="159"/>
      <c r="H168" s="81"/>
      <c r="I168" s="91"/>
      <c r="J168" s="92"/>
      <c r="K168" s="93"/>
    </row>
    <row r="169" spans="1:11" ht="12.75">
      <c r="A169" s="34" t="s">
        <v>142</v>
      </c>
      <c r="B169" s="13"/>
      <c r="C169" s="114"/>
      <c r="D169" s="116"/>
      <c r="E169" s="108" t="s">
        <v>387</v>
      </c>
      <c r="F169" s="109"/>
      <c r="G169" s="109"/>
      <c r="H169" s="143"/>
      <c r="I169" s="144"/>
      <c r="J169" s="145"/>
      <c r="K169" s="146"/>
    </row>
    <row r="170" spans="1:11" ht="12.75">
      <c r="A170" s="110" t="s">
        <v>145</v>
      </c>
      <c r="B170" s="111"/>
      <c r="C170" s="119">
        <f>D116</f>
        <v>254353</v>
      </c>
      <c r="D170" s="313">
        <f>C170/C172</f>
        <v>0.5654698780280575</v>
      </c>
      <c r="E170" s="89" t="s">
        <v>181</v>
      </c>
      <c r="F170" s="85"/>
      <c r="G170" s="85"/>
      <c r="H170" s="76"/>
      <c r="I170" s="90"/>
      <c r="J170" s="86"/>
      <c r="K170" s="87"/>
    </row>
    <row r="171" spans="1:11" ht="12.75">
      <c r="A171" s="110" t="s">
        <v>359</v>
      </c>
      <c r="B171" s="111"/>
      <c r="C171" s="118">
        <f>'Calculs détaillés'!AS64</f>
        <v>195455.22123893836</v>
      </c>
      <c r="D171" s="313">
        <f>C171/C172</f>
        <v>0.4345301219719424</v>
      </c>
      <c r="E171" s="89" t="s">
        <v>280</v>
      </c>
      <c r="F171" s="85"/>
      <c r="G171" s="85"/>
      <c r="H171" s="76"/>
      <c r="I171" s="90"/>
      <c r="J171" s="86"/>
      <c r="K171" s="87"/>
    </row>
    <row r="172" spans="1:11" ht="12.75">
      <c r="A172" s="39" t="s">
        <v>360</v>
      </c>
      <c r="B172" s="40"/>
      <c r="C172" s="139">
        <f>SUM(C170:C171)</f>
        <v>449808.2212389384</v>
      </c>
      <c r="D172" s="313">
        <f>SUM(D170:D171)</f>
        <v>0.9999999999999999</v>
      </c>
      <c r="E172" s="79"/>
      <c r="F172" s="77"/>
      <c r="G172" s="77"/>
      <c r="H172" s="53"/>
      <c r="I172" s="80"/>
      <c r="J172" s="78"/>
      <c r="K172" s="88"/>
    </row>
    <row r="173" spans="1:11" ht="13.5" thickBot="1">
      <c r="A173" s="130" t="s">
        <v>107</v>
      </c>
      <c r="B173" s="127"/>
      <c r="C173" s="207"/>
      <c r="D173" s="208"/>
      <c r="E173" s="160" t="s">
        <v>177</v>
      </c>
      <c r="F173" s="161"/>
      <c r="G173" s="161"/>
      <c r="H173" s="162"/>
      <c r="I173" s="163"/>
      <c r="J173" s="164"/>
      <c r="K173" s="165"/>
    </row>
    <row r="174" spans="1:11" ht="12.75">
      <c r="A174" s="34" t="s">
        <v>155</v>
      </c>
      <c r="B174" s="13"/>
      <c r="C174" s="148"/>
      <c r="D174" s="206">
        <f>D167-C172</f>
        <v>885208.7712911563</v>
      </c>
      <c r="E174" s="79" t="s">
        <v>303</v>
      </c>
      <c r="F174" s="77"/>
      <c r="G174" s="77"/>
      <c r="H174" s="53"/>
      <c r="I174" s="80"/>
      <c r="J174" s="78"/>
      <c r="K174" s="56"/>
    </row>
    <row r="175" spans="1:11" ht="12.75">
      <c r="A175" s="34"/>
      <c r="B175" s="13"/>
      <c r="C175" s="148"/>
      <c r="D175" s="116"/>
      <c r="E175" s="79" t="s">
        <v>223</v>
      </c>
      <c r="F175" s="77"/>
      <c r="G175" s="77"/>
      <c r="H175" s="53"/>
      <c r="I175" s="80"/>
      <c r="J175" s="78"/>
      <c r="K175" s="56"/>
    </row>
    <row r="176" spans="1:11" ht="13.5" thickBot="1">
      <c r="A176" s="34"/>
      <c r="B176" s="13"/>
      <c r="C176" s="10"/>
      <c r="D176" s="475"/>
      <c r="E176" s="79" t="s">
        <v>162</v>
      </c>
      <c r="F176" s="52"/>
      <c r="G176" s="52"/>
      <c r="H176" s="53"/>
      <c r="I176" s="54"/>
      <c r="J176" s="55"/>
      <c r="K176" s="150">
        <f>'Calculs détaillés'!AT60</f>
        <v>1258.458321145721</v>
      </c>
    </row>
    <row r="177" spans="1:11" ht="13.5" thickBot="1">
      <c r="A177" s="34" t="s">
        <v>152</v>
      </c>
      <c r="B177" s="13"/>
      <c r="C177" s="148"/>
      <c r="D177" s="151">
        <f>C172/D167</f>
        <v>0.33693070856459423</v>
      </c>
      <c r="E177" s="79" t="s">
        <v>220</v>
      </c>
      <c r="F177" s="77"/>
      <c r="G177" s="77"/>
      <c r="H177" s="53"/>
      <c r="I177" s="80"/>
      <c r="J177" s="78"/>
      <c r="K177" s="88"/>
    </row>
    <row r="178" spans="1:11" ht="13.5" thickBot="1">
      <c r="A178" s="34" t="s">
        <v>147</v>
      </c>
      <c r="B178" s="13"/>
      <c r="C178" s="148"/>
      <c r="D178" s="151">
        <f>D109/D167</f>
        <v>0.05617906020646348</v>
      </c>
      <c r="E178" s="79" t="s">
        <v>99</v>
      </c>
      <c r="F178" s="77"/>
      <c r="G178" s="77"/>
      <c r="H178" s="53"/>
      <c r="I178" s="80"/>
      <c r="J178" s="78"/>
      <c r="K178" s="88"/>
    </row>
    <row r="179" spans="1:11" ht="13.5" thickBot="1">
      <c r="A179" s="34" t="s">
        <v>218</v>
      </c>
      <c r="B179" s="13"/>
      <c r="C179" s="148"/>
      <c r="D179" s="151">
        <f>D109/C172</f>
        <v>0.166737726121195</v>
      </c>
      <c r="E179" s="79" t="s">
        <v>219</v>
      </c>
      <c r="F179" s="77"/>
      <c r="G179" s="77"/>
      <c r="H179" s="53"/>
      <c r="I179" s="80"/>
      <c r="J179" s="78"/>
      <c r="K179" s="88"/>
    </row>
    <row r="180" spans="2:11" ht="12.75">
      <c r="B180" s="13"/>
      <c r="C180" s="10"/>
      <c r="D180" s="75"/>
      <c r="E180" s="120"/>
      <c r="F180" s="121"/>
      <c r="G180" s="121"/>
      <c r="H180" s="122"/>
      <c r="I180" s="123"/>
      <c r="J180" s="124"/>
      <c r="K180" s="125"/>
    </row>
    <row r="181" spans="1:5" ht="12.75">
      <c r="A181" s="1" t="s">
        <v>245</v>
      </c>
      <c r="B181" s="1"/>
      <c r="C181" s="1"/>
      <c r="D181" s="1"/>
      <c r="E181" s="1"/>
    </row>
    <row r="182" spans="1:12" ht="12.75">
      <c r="A182" s="49" t="s">
        <v>107</v>
      </c>
      <c r="B182" s="49"/>
      <c r="C182" s="49"/>
      <c r="D182" s="49" t="s">
        <v>107</v>
      </c>
      <c r="E182" s="59" t="s">
        <v>107</v>
      </c>
      <c r="F182" s="59"/>
      <c r="G182" s="59"/>
      <c r="H182" s="59"/>
      <c r="I182" s="59"/>
      <c r="J182" s="49"/>
      <c r="K182" s="49"/>
      <c r="L182" s="15"/>
    </row>
    <row r="183" spans="1:12" ht="12.75">
      <c r="A183" s="49" t="s">
        <v>107</v>
      </c>
      <c r="B183" s="49"/>
      <c r="C183" s="49"/>
      <c r="D183" s="49" t="s">
        <v>107</v>
      </c>
      <c r="E183" s="59" t="s">
        <v>107</v>
      </c>
      <c r="F183" s="59"/>
      <c r="G183" s="59"/>
      <c r="H183" s="59"/>
      <c r="I183" s="59"/>
      <c r="J183" s="49"/>
      <c r="K183" s="49"/>
      <c r="L183" s="15"/>
    </row>
    <row r="184" spans="1:11" ht="12.75">
      <c r="A184" s="43" t="s">
        <v>107</v>
      </c>
      <c r="B184" s="43"/>
      <c r="C184" s="43"/>
      <c r="D184" s="43" t="s">
        <v>107</v>
      </c>
      <c r="E184" s="49"/>
      <c r="F184" s="49"/>
      <c r="G184" s="49"/>
      <c r="H184" s="49"/>
      <c r="I184" s="49"/>
      <c r="J184" s="49"/>
      <c r="K184" s="49"/>
    </row>
    <row r="185" spans="1:11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</row>
  </sheetData>
  <sheetProtection/>
  <mergeCells count="18">
    <mergeCell ref="E165:J165"/>
    <mergeCell ref="A161:B161"/>
    <mergeCell ref="A152:B152"/>
    <mergeCell ref="C51:K51"/>
    <mergeCell ref="A69:C69"/>
    <mergeCell ref="E69:K69"/>
    <mergeCell ref="E131:J131"/>
    <mergeCell ref="E97:J97"/>
    <mergeCell ref="D60:F60"/>
    <mergeCell ref="E78:J78"/>
    <mergeCell ref="A151:B151"/>
    <mergeCell ref="A134:B134"/>
    <mergeCell ref="A2:K2"/>
    <mergeCell ref="A4:K4"/>
    <mergeCell ref="E96:J96"/>
    <mergeCell ref="C48:K48"/>
    <mergeCell ref="C49:K49"/>
    <mergeCell ref="E75:I75"/>
  </mergeCells>
  <hyperlinks>
    <hyperlink ref="C17" r:id="rId1" display="2012/21/UE"/>
    <hyperlink ref="C12" r:id="rId2" display="106.2"/>
    <hyperlink ref="J106" r:id="rId3" display="Question"/>
    <hyperlink ref="C29" r:id="rId4" display="CCH"/>
    <hyperlink ref="C31" r:id="rId5" display="CUS"/>
    <hyperlink ref="C32" r:id="rId6" display="Convention APL"/>
    <hyperlink ref="C30" r:id="rId7" display="SIEG"/>
    <hyperlink ref="C33" r:id="rId8" display="Mandat OHLM"/>
    <hyperlink ref="K97" r:id="rId9" display="Note DHUP 281211"/>
    <hyperlink ref="K99" r:id="rId10" display="Note DHUP 281211"/>
    <hyperlink ref="K100" r:id="rId11" display="Note DHUP 281211"/>
    <hyperlink ref="K135" r:id="rId12" display="Note DHUP 281211"/>
    <hyperlink ref="K138" r:id="rId13" display="Note DHUP 281211"/>
    <hyperlink ref="K139" r:id="rId14" display="Note DHUP 281211"/>
    <hyperlink ref="K140" r:id="rId15" display="Note DHUP 281211"/>
    <hyperlink ref="K141" r:id="rId16" display="Note DHUP 281211"/>
    <hyperlink ref="C19" r:id="rId17" display="2005/842/CE"/>
  </hyperlinks>
  <printOptions/>
  <pageMargins left="0.1968503937007874" right="0.1968503937007874" top="0.7874015748031497" bottom="0.7874015748031497" header="0.3937007874015748" footer="0.3937007874015748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R18">
      <selection activeCell="AA22" sqref="AA22"/>
    </sheetView>
  </sheetViews>
  <sheetFormatPr defaultColWidth="11.421875" defaultRowHeight="12.75"/>
  <cols>
    <col min="1" max="2" width="10.28125" style="0" customWidth="1"/>
    <col min="3" max="3" width="10.00390625" style="0" customWidth="1"/>
    <col min="4" max="4" width="10.28125" style="0" customWidth="1"/>
    <col min="5" max="6" width="8.8515625" style="0" customWidth="1"/>
    <col min="7" max="8" width="10.7109375" style="0" customWidth="1"/>
    <col min="9" max="11" width="10.421875" style="0" customWidth="1"/>
    <col min="12" max="12" width="12.28125" style="0" customWidth="1"/>
    <col min="13" max="15" width="10.421875" style="0" customWidth="1"/>
    <col min="16" max="17" width="10.140625" style="0" customWidth="1"/>
    <col min="18" max="18" width="12.28125" style="0" customWidth="1"/>
    <col min="19" max="21" width="10.140625" style="0" customWidth="1"/>
    <col min="22" max="22" width="9.28125" style="0" customWidth="1"/>
    <col min="23" max="23" width="10.8515625" style="0" customWidth="1"/>
    <col min="24" max="24" width="11.7109375" style="0" customWidth="1"/>
    <col min="25" max="28" width="9.28125" style="0" customWidth="1"/>
    <col min="29" max="29" width="10.7109375" style="0" customWidth="1"/>
    <col min="30" max="30" width="12.421875" style="0" customWidth="1"/>
    <col min="31" max="31" width="9.28125" style="0" customWidth="1"/>
    <col min="32" max="33" width="11.7109375" style="0" customWidth="1"/>
    <col min="34" max="34" width="9.7109375" style="0" customWidth="1"/>
    <col min="35" max="35" width="11.7109375" style="0" customWidth="1"/>
    <col min="36" max="45" width="9.7109375" style="0" customWidth="1"/>
    <col min="46" max="46" width="12.28125" style="0" customWidth="1"/>
    <col min="47" max="48" width="9.7109375" style="0" customWidth="1"/>
    <col min="49" max="49" width="11.00390625" style="0" customWidth="1"/>
  </cols>
  <sheetData>
    <row r="1" spans="1:33" ht="13.5" thickBot="1">
      <c r="A1" s="341" t="s">
        <v>230</v>
      </c>
      <c r="B1" s="35"/>
      <c r="C1" s="42"/>
      <c r="D1" s="42"/>
      <c r="E1" s="42"/>
      <c r="F1" s="42"/>
      <c r="G1" s="42" t="s">
        <v>107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23" t="s">
        <v>107</v>
      </c>
      <c r="AB1" s="174"/>
      <c r="AC1" s="174"/>
      <c r="AD1" s="174"/>
      <c r="AE1" s="174"/>
      <c r="AF1" s="42"/>
      <c r="AG1" s="246"/>
    </row>
    <row r="2" spans="1:33" ht="12.75">
      <c r="A2" s="45" t="s">
        <v>123</v>
      </c>
      <c r="B2" s="45"/>
      <c r="C2" s="1"/>
      <c r="D2" s="46">
        <f>'Test de compensation'!D138</f>
        <v>0.017</v>
      </c>
      <c r="E2" s="133">
        <f>'Test de compensation'!D99+'Test de compensation'!D100</f>
        <v>0.03</v>
      </c>
      <c r="F2" s="133"/>
      <c r="G2" s="1"/>
      <c r="H2" s="1"/>
      <c r="I2" s="1" t="s">
        <v>107</v>
      </c>
      <c r="J2" s="1"/>
      <c r="K2" s="1"/>
      <c r="L2" s="1"/>
      <c r="M2" s="1"/>
      <c r="N2" s="1"/>
      <c r="O2" s="1" t="s">
        <v>35</v>
      </c>
      <c r="P2" s="47">
        <f>'Test de compensation'!D126</f>
        <v>1550000</v>
      </c>
      <c r="Q2" s="47"/>
      <c r="R2" s="47"/>
      <c r="S2" s="47"/>
      <c r="T2" s="47"/>
      <c r="U2" s="4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thickBot="1">
      <c r="A3" s="45"/>
      <c r="B3" s="45"/>
      <c r="C3" s="1"/>
      <c r="D3" s="46"/>
      <c r="E3" s="133"/>
      <c r="F3" s="133"/>
      <c r="G3" s="1"/>
      <c r="H3" s="1"/>
      <c r="I3" s="1" t="s">
        <v>107</v>
      </c>
      <c r="J3" s="1"/>
      <c r="K3" s="1"/>
      <c r="L3" s="1"/>
      <c r="M3" s="1"/>
      <c r="N3" s="1"/>
      <c r="O3" s="1" t="s">
        <v>36</v>
      </c>
      <c r="P3" s="47">
        <f>'Test de compensation'!G119</f>
        <v>40</v>
      </c>
      <c r="Q3" s="47"/>
      <c r="R3" s="47"/>
      <c r="S3" s="47"/>
      <c r="T3" s="47"/>
      <c r="U3" s="47"/>
      <c r="V3" s="1" t="s">
        <v>178</v>
      </c>
      <c r="W3" s="1"/>
      <c r="X3" s="1"/>
      <c r="Y3" s="1"/>
      <c r="Z3" s="1"/>
      <c r="AA3" s="212">
        <f>'Test de compensation'!K166</f>
        <v>40</v>
      </c>
      <c r="AB3" s="1"/>
      <c r="AC3" s="1"/>
      <c r="AD3" s="1"/>
      <c r="AE3" s="1"/>
      <c r="AF3" s="1"/>
      <c r="AG3" s="1"/>
    </row>
    <row r="4" spans="1:49" ht="13.5" thickBot="1">
      <c r="A4" s="526" t="s">
        <v>274</v>
      </c>
      <c r="B4" s="527"/>
      <c r="C4" s="521" t="s">
        <v>144</v>
      </c>
      <c r="D4" s="522"/>
      <c r="E4" s="522"/>
      <c r="F4" s="522"/>
      <c r="G4" s="523"/>
      <c r="H4" s="521" t="s">
        <v>143</v>
      </c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30"/>
      <c r="AQ4" s="510" t="s">
        <v>164</v>
      </c>
      <c r="AR4" s="511"/>
      <c r="AS4" s="511"/>
      <c r="AT4" s="512"/>
      <c r="AU4" s="275" t="s">
        <v>165</v>
      </c>
      <c r="AV4" s="275" t="s">
        <v>167</v>
      </c>
      <c r="AW4" s="202" t="s">
        <v>166</v>
      </c>
    </row>
    <row r="5" spans="1:49" ht="31.5" thickBot="1">
      <c r="A5" s="506"/>
      <c r="B5" s="528"/>
      <c r="C5" s="175" t="s">
        <v>169</v>
      </c>
      <c r="D5" s="524" t="s">
        <v>326</v>
      </c>
      <c r="E5" s="511"/>
      <c r="F5" s="176" t="s">
        <v>204</v>
      </c>
      <c r="G5" s="202" t="s">
        <v>248</v>
      </c>
      <c r="H5" s="275"/>
      <c r="I5" s="524" t="s">
        <v>8</v>
      </c>
      <c r="J5" s="524"/>
      <c r="K5" s="524"/>
      <c r="L5" s="524"/>
      <c r="M5" s="525"/>
      <c r="N5" s="362"/>
      <c r="O5" s="533" t="s">
        <v>11</v>
      </c>
      <c r="P5" s="511"/>
      <c r="Q5" s="511"/>
      <c r="R5" s="511"/>
      <c r="S5" s="514"/>
      <c r="T5" s="363"/>
      <c r="U5" s="513" t="s">
        <v>10</v>
      </c>
      <c r="V5" s="511"/>
      <c r="W5" s="511"/>
      <c r="X5" s="511"/>
      <c r="Y5" s="514"/>
      <c r="Z5" s="363"/>
      <c r="AA5" s="513" t="s">
        <v>9</v>
      </c>
      <c r="AB5" s="511"/>
      <c r="AC5" s="511"/>
      <c r="AD5" s="511"/>
      <c r="AE5" s="514"/>
      <c r="AF5" s="396" t="s">
        <v>37</v>
      </c>
      <c r="AG5" s="396"/>
      <c r="AH5" s="376" t="s">
        <v>217</v>
      </c>
      <c r="AI5" s="357" t="s">
        <v>329</v>
      </c>
      <c r="AJ5" s="516" t="s">
        <v>269</v>
      </c>
      <c r="AK5" s="532"/>
      <c r="AL5" s="300" t="s">
        <v>233</v>
      </c>
      <c r="AM5" s="300" t="s">
        <v>232</v>
      </c>
      <c r="AN5" s="300" t="s">
        <v>265</v>
      </c>
      <c r="AO5" s="202" t="s">
        <v>242</v>
      </c>
      <c r="AP5" s="202" t="s">
        <v>243</v>
      </c>
      <c r="AQ5" s="263" t="s">
        <v>171</v>
      </c>
      <c r="AR5" s="516" t="s">
        <v>233</v>
      </c>
      <c r="AS5" s="514"/>
      <c r="AT5" s="279" t="s">
        <v>244</v>
      </c>
      <c r="AU5" s="282"/>
      <c r="AV5" s="282"/>
      <c r="AW5" s="281"/>
    </row>
    <row r="6" spans="1:49" ht="13.5" thickBot="1">
      <c r="A6" s="236"/>
      <c r="B6" s="377"/>
      <c r="C6" s="410"/>
      <c r="D6" s="265"/>
      <c r="E6" s="414"/>
      <c r="F6" s="254"/>
      <c r="G6" s="364"/>
      <c r="H6" s="275"/>
      <c r="I6" s="265" t="s">
        <v>327</v>
      </c>
      <c r="J6" s="265" t="s">
        <v>140</v>
      </c>
      <c r="K6" s="265" t="s">
        <v>110</v>
      </c>
      <c r="L6" s="265" t="s">
        <v>6</v>
      </c>
      <c r="M6" s="373" t="s">
        <v>122</v>
      </c>
      <c r="N6" s="265"/>
      <c r="O6" s="265" t="s">
        <v>327</v>
      </c>
      <c r="P6" s="365" t="s">
        <v>140</v>
      </c>
      <c r="Q6" s="365" t="s">
        <v>110</v>
      </c>
      <c r="R6" s="365" t="s">
        <v>6</v>
      </c>
      <c r="S6" s="382" t="s">
        <v>122</v>
      </c>
      <c r="T6" s="365"/>
      <c r="U6" s="365" t="s">
        <v>327</v>
      </c>
      <c r="V6" s="254" t="s">
        <v>140</v>
      </c>
      <c r="W6" s="254" t="s">
        <v>110</v>
      </c>
      <c r="X6" s="254" t="s">
        <v>6</v>
      </c>
      <c r="Y6" s="300" t="s">
        <v>122</v>
      </c>
      <c r="Z6" s="254"/>
      <c r="AA6" s="254" t="s">
        <v>327</v>
      </c>
      <c r="AB6" s="254" t="s">
        <v>140</v>
      </c>
      <c r="AC6" s="254" t="s">
        <v>110</v>
      </c>
      <c r="AD6" s="254" t="s">
        <v>6</v>
      </c>
      <c r="AE6" s="254" t="s">
        <v>122</v>
      </c>
      <c r="AF6" s="397" t="s">
        <v>122</v>
      </c>
      <c r="AG6" s="464"/>
      <c r="AH6" s="300"/>
      <c r="AI6" s="324"/>
      <c r="AJ6" s="326"/>
      <c r="AK6" s="300"/>
      <c r="AL6" s="300"/>
      <c r="AM6" s="300"/>
      <c r="AN6" s="300"/>
      <c r="AO6" s="364"/>
      <c r="AP6" s="364"/>
      <c r="AQ6" s="263"/>
      <c r="AR6" s="360"/>
      <c r="AS6" s="361"/>
      <c r="AT6" s="366"/>
      <c r="AU6" s="282"/>
      <c r="AV6" s="282"/>
      <c r="AW6" s="281"/>
    </row>
    <row r="7" spans="1:49" ht="13.5" thickBot="1">
      <c r="A7" s="236"/>
      <c r="B7" s="377"/>
      <c r="C7" s="411"/>
      <c r="D7" s="265"/>
      <c r="E7" s="415"/>
      <c r="F7" s="254"/>
      <c r="G7" s="364"/>
      <c r="H7" s="422"/>
      <c r="I7" s="266">
        <f>'Test de compensation'!D119</f>
        <v>1097200</v>
      </c>
      <c r="J7" s="367">
        <f>'Test de compensation'!F119</f>
        <v>0.031</v>
      </c>
      <c r="K7" s="265">
        <f>'Test de compensation'!G119</f>
        <v>40</v>
      </c>
      <c r="L7" s="387">
        <f>K59</f>
        <v>832313.5207334876</v>
      </c>
      <c r="M7" s="389">
        <f>K64</f>
        <v>652205.8952238067</v>
      </c>
      <c r="N7" s="387"/>
      <c r="O7" s="266">
        <f>'Test de compensation'!D120</f>
        <v>302800</v>
      </c>
      <c r="P7" s="381">
        <f>'Test de compensation'!F120</f>
        <v>0.031</v>
      </c>
      <c r="Q7" s="384">
        <f>'Test de compensation'!G120</f>
        <v>50</v>
      </c>
      <c r="R7" s="386">
        <f>Q59</f>
        <v>278697.7106031891</v>
      </c>
      <c r="S7" s="388">
        <f>Q64</f>
        <v>210524.71873445637</v>
      </c>
      <c r="T7" s="386"/>
      <c r="U7" s="365">
        <f>'Test de compensation'!D121</f>
        <v>150000</v>
      </c>
      <c r="V7" s="385">
        <f>'Test de compensation'!F121</f>
        <v>0.01</v>
      </c>
      <c r="W7" s="254">
        <f>'Test de compensation'!G121</f>
        <v>20</v>
      </c>
      <c r="X7" s="386">
        <f>W59</f>
        <v>16245.944671654199</v>
      </c>
      <c r="Y7" s="388">
        <f>W64</f>
        <v>14376.522384404368</v>
      </c>
      <c r="Z7" s="386"/>
      <c r="AA7" s="254">
        <f>'Test de compensation'!D122</f>
        <v>0</v>
      </c>
      <c r="AB7" s="385">
        <f>'Test de compensation'!F122</f>
        <v>0.04</v>
      </c>
      <c r="AC7" s="254">
        <f>'Test de compensation'!G122</f>
        <v>10</v>
      </c>
      <c r="AD7" s="386">
        <f>AC59</f>
        <v>0</v>
      </c>
      <c r="AE7" s="386">
        <f>AC64</f>
        <v>0</v>
      </c>
      <c r="AF7" s="395">
        <f>AE7+Y7+S7+M7</f>
        <v>877107.1363426675</v>
      </c>
      <c r="AG7" s="465"/>
      <c r="AH7" s="264"/>
      <c r="AI7" s="400"/>
      <c r="AJ7" s="399"/>
      <c r="AK7" s="263"/>
      <c r="AL7" s="264"/>
      <c r="AM7" s="264"/>
      <c r="AN7" s="264"/>
      <c r="AO7" s="364"/>
      <c r="AP7" s="364"/>
      <c r="AQ7" s="263"/>
      <c r="AR7" s="360"/>
      <c r="AS7" s="361"/>
      <c r="AT7" s="366"/>
      <c r="AU7" s="282"/>
      <c r="AV7" s="282"/>
      <c r="AW7" s="281"/>
    </row>
    <row r="8" spans="1:50" ht="31.5" thickBot="1">
      <c r="A8" s="50" t="s">
        <v>121</v>
      </c>
      <c r="B8" s="286" t="s">
        <v>249</v>
      </c>
      <c r="C8" s="412" t="s">
        <v>267</v>
      </c>
      <c r="D8" s="286" t="s">
        <v>140</v>
      </c>
      <c r="E8" s="416" t="s">
        <v>266</v>
      </c>
      <c r="F8" s="51" t="s">
        <v>76</v>
      </c>
      <c r="G8" s="284" t="s">
        <v>268</v>
      </c>
      <c r="H8" s="478" t="s">
        <v>121</v>
      </c>
      <c r="I8" s="51" t="s">
        <v>324</v>
      </c>
      <c r="J8" s="51" t="s">
        <v>275</v>
      </c>
      <c r="K8" s="368" t="s">
        <v>276</v>
      </c>
      <c r="L8" s="51" t="s">
        <v>325</v>
      </c>
      <c r="M8" s="372" t="s">
        <v>277</v>
      </c>
      <c r="N8" s="286" t="s">
        <v>121</v>
      </c>
      <c r="O8" s="51" t="s">
        <v>324</v>
      </c>
      <c r="P8" s="51" t="s">
        <v>275</v>
      </c>
      <c r="Q8" s="51" t="s">
        <v>276</v>
      </c>
      <c r="R8" s="51" t="s">
        <v>325</v>
      </c>
      <c r="S8" s="372" t="s">
        <v>277</v>
      </c>
      <c r="T8" s="286" t="s">
        <v>121</v>
      </c>
      <c r="U8" s="51" t="s">
        <v>324</v>
      </c>
      <c r="V8" s="51" t="s">
        <v>275</v>
      </c>
      <c r="W8" s="51" t="s">
        <v>276</v>
      </c>
      <c r="X8" s="51" t="s">
        <v>325</v>
      </c>
      <c r="Y8" s="372" t="s">
        <v>277</v>
      </c>
      <c r="Z8" s="286" t="s">
        <v>121</v>
      </c>
      <c r="AA8" s="51" t="s">
        <v>324</v>
      </c>
      <c r="AB8" s="51" t="s">
        <v>275</v>
      </c>
      <c r="AC8" s="51" t="s">
        <v>276</v>
      </c>
      <c r="AD8" s="51" t="s">
        <v>325</v>
      </c>
      <c r="AE8" s="51" t="s">
        <v>277</v>
      </c>
      <c r="AF8" s="137" t="s">
        <v>107</v>
      </c>
      <c r="AG8" s="480" t="s">
        <v>121</v>
      </c>
      <c r="AH8" s="177" t="s">
        <v>39</v>
      </c>
      <c r="AI8" s="301" t="s">
        <v>331</v>
      </c>
      <c r="AJ8" s="301" t="s">
        <v>256</v>
      </c>
      <c r="AK8" s="301" t="s">
        <v>257</v>
      </c>
      <c r="AL8" s="301" t="s">
        <v>40</v>
      </c>
      <c r="AM8" s="301" t="s">
        <v>41</v>
      </c>
      <c r="AN8" s="301" t="s">
        <v>362</v>
      </c>
      <c r="AO8" s="322" t="s">
        <v>107</v>
      </c>
      <c r="AP8" s="322" t="s">
        <v>107</v>
      </c>
      <c r="AQ8" s="177" t="s">
        <v>109</v>
      </c>
      <c r="AR8" s="168" t="s">
        <v>361</v>
      </c>
      <c r="AS8" s="168" t="s">
        <v>358</v>
      </c>
      <c r="AT8" s="321" t="s">
        <v>107</v>
      </c>
      <c r="AU8" s="322" t="s">
        <v>107</v>
      </c>
      <c r="AV8" s="280" t="s">
        <v>114</v>
      </c>
      <c r="AW8" s="277" t="s">
        <v>246</v>
      </c>
      <c r="AX8" s="251" t="s">
        <v>107</v>
      </c>
    </row>
    <row r="9" spans="1:50" ht="12.75">
      <c r="A9" s="44">
        <v>1</v>
      </c>
      <c r="B9" s="287">
        <f>D2</f>
        <v>0.017</v>
      </c>
      <c r="C9" s="413">
        <f>'Test de compensation'!D98</f>
        <v>70334.6904</v>
      </c>
      <c r="D9" s="133">
        <v>0.03</v>
      </c>
      <c r="E9" s="417">
        <f>C9*D9*-1</f>
        <v>-2110.040712</v>
      </c>
      <c r="F9" s="43">
        <f>'Test de compensation'!D104</f>
        <v>0</v>
      </c>
      <c r="G9" s="136">
        <f>C9+E9+F9</f>
        <v>68224.649688</v>
      </c>
      <c r="H9" s="476">
        <f>A9</f>
        <v>1</v>
      </c>
      <c r="I9" s="133">
        <f>J7</f>
        <v>0.031</v>
      </c>
      <c r="J9" s="43">
        <f>PMT(J7,K7,-I7)</f>
        <v>48237.83801833731</v>
      </c>
      <c r="K9" s="47">
        <f>I7*'Calculs détaillés'!I9</f>
        <v>34013.2</v>
      </c>
      <c r="L9" s="43">
        <f>J9-K9</f>
        <v>14224.638018337311</v>
      </c>
      <c r="M9" s="369">
        <f>I7-'Calculs détaillés'!L9</f>
        <v>1082975.3619816627</v>
      </c>
      <c r="N9" s="451">
        <f>A9</f>
        <v>1</v>
      </c>
      <c r="O9" s="320">
        <f>P7</f>
        <v>0.031</v>
      </c>
      <c r="P9" s="43">
        <f>PMT(P7,Q7,-O7)</f>
        <v>11992.899018836059</v>
      </c>
      <c r="Q9" s="47">
        <f>O7*P7</f>
        <v>9386.8</v>
      </c>
      <c r="R9" s="43">
        <f>P9-Q9</f>
        <v>2606.0990188360593</v>
      </c>
      <c r="S9" s="370">
        <f>O7-R9</f>
        <v>300193.90098116396</v>
      </c>
      <c r="T9" s="451">
        <f>N9</f>
        <v>1</v>
      </c>
      <c r="U9" s="320">
        <f>V7</f>
        <v>0.01</v>
      </c>
      <c r="V9" s="43">
        <f>PMT(V7,W7,-U7)</f>
        <v>8312.297233582698</v>
      </c>
      <c r="W9" s="43">
        <f>U7*V7</f>
        <v>1500</v>
      </c>
      <c r="X9" s="43">
        <f>V9-W9</f>
        <v>6812.297233582698</v>
      </c>
      <c r="Y9" s="370">
        <f>U7-X9</f>
        <v>143187.7027664173</v>
      </c>
      <c r="Z9" s="451">
        <f>T9</f>
        <v>1</v>
      </c>
      <c r="AA9" s="133">
        <f>AB7</f>
        <v>0.04</v>
      </c>
      <c r="AB9" s="43">
        <f>PMT(AB7,AC7,-AA7)</f>
        <v>0</v>
      </c>
      <c r="AC9" s="43">
        <f>AA7*AB7</f>
        <v>0</v>
      </c>
      <c r="AD9" s="43">
        <f>AB9-AC9</f>
        <v>0</v>
      </c>
      <c r="AE9" s="43">
        <f>AA7-AD9</f>
        <v>0</v>
      </c>
      <c r="AF9" s="136" t="s">
        <v>107</v>
      </c>
      <c r="AG9" s="466">
        <f>A9</f>
        <v>1</v>
      </c>
      <c r="AH9" s="298">
        <f>'Test de compensation'!D152</f>
        <v>0</v>
      </c>
      <c r="AI9" s="57">
        <f>'Test de compensation'!D83</f>
        <v>0</v>
      </c>
      <c r="AJ9" s="57">
        <f>'Test de compensation'!D89</f>
        <v>18900</v>
      </c>
      <c r="AK9" s="57">
        <f>'Test de compensation'!D90</f>
        <v>1245</v>
      </c>
      <c r="AL9" s="57">
        <f>'Test de compensation'!D91</f>
        <v>8642.52</v>
      </c>
      <c r="AM9" s="57">
        <f>'Test de compensation'!D75*'Test de compensation'!D137</f>
        <v>98622.07630000002</v>
      </c>
      <c r="AN9" s="57">
        <f>'Test de compensation'!D92</f>
        <v>435</v>
      </c>
      <c r="AO9" s="203" t="s">
        <v>107</v>
      </c>
      <c r="AP9" s="136" t="s">
        <v>107</v>
      </c>
      <c r="AQ9" s="276">
        <f>'Test de compensation'!D116</f>
        <v>254353</v>
      </c>
      <c r="AR9" s="203">
        <f>AL9</f>
        <v>8642.52</v>
      </c>
      <c r="AS9" s="203">
        <f>AR9-AL9</f>
        <v>0</v>
      </c>
      <c r="AT9" s="135">
        <f>AQ9+AS9</f>
        <v>254353</v>
      </c>
      <c r="AU9" s="135">
        <f>PMT('Test de compensation'!J166,'Calculs détaillés'!AA3,-'Test de compensation'!D117)</f>
        <v>3629.760494070539</v>
      </c>
      <c r="AV9" s="283" t="s">
        <v>107</v>
      </c>
      <c r="AW9" s="142" t="s">
        <v>107</v>
      </c>
      <c r="AX9" s="43" t="s">
        <v>107</v>
      </c>
    </row>
    <row r="10" spans="1:50" ht="12.75">
      <c r="A10" s="44">
        <v>2</v>
      </c>
      <c r="B10" s="287">
        <f aca="true" t="shared" si="0" ref="B10:B41">B9</f>
        <v>0.017</v>
      </c>
      <c r="C10" s="413">
        <f>IF(A10&gt;'Test de compensation'!$G$119,0,C9+(C9*B10))</f>
        <v>71530.38013680001</v>
      </c>
      <c r="D10" s="133">
        <v>0.03</v>
      </c>
      <c r="E10" s="417">
        <f aca="true" t="shared" si="1" ref="E10:E58">C10*D10*-1</f>
        <v>-2145.911404104</v>
      </c>
      <c r="F10" s="43">
        <f>F9+(F9*B10)</f>
        <v>0</v>
      </c>
      <c r="G10" s="136">
        <f aca="true" t="shared" si="2" ref="G10:G58">C10+E10+F10</f>
        <v>69384.46873269601</v>
      </c>
      <c r="H10" s="384">
        <f aca="true" t="shared" si="3" ref="H10:H58">A10</f>
        <v>2</v>
      </c>
      <c r="I10" s="133">
        <f aca="true" t="shared" si="4" ref="I10:I48">I9</f>
        <v>0.031</v>
      </c>
      <c r="J10" s="43">
        <f>IF(H10&gt;'Test de compensation'!$G$119,0,'Calculs détaillés'!J9)</f>
        <v>48237.83801833731</v>
      </c>
      <c r="K10" s="47">
        <f>M9*I9</f>
        <v>33572.23622143154</v>
      </c>
      <c r="L10" s="43">
        <f aca="true" t="shared" si="5" ref="L10:L58">J10-K10</f>
        <v>14665.601796905765</v>
      </c>
      <c r="M10" s="370">
        <f>M9-L10</f>
        <v>1068309.760184757</v>
      </c>
      <c r="N10" s="451">
        <v>2</v>
      </c>
      <c r="O10" s="320">
        <f>O9</f>
        <v>0.031</v>
      </c>
      <c r="P10" s="43">
        <f>IF(N10&gt;'Test de compensation'!$G$120,0,'Calculs détaillés'!P9)</f>
        <v>11992.899018836059</v>
      </c>
      <c r="Q10" s="47">
        <f>S9*O10</f>
        <v>9306.010930416083</v>
      </c>
      <c r="R10" s="43">
        <f aca="true" t="shared" si="6" ref="R10:R58">P10-Q10</f>
        <v>2686.8880884199752</v>
      </c>
      <c r="S10" s="370">
        <f>S9-R10</f>
        <v>297507.012892744</v>
      </c>
      <c r="T10" s="451">
        <f aca="true" t="shared" si="7" ref="T10:T58">N10</f>
        <v>2</v>
      </c>
      <c r="U10" s="320">
        <f>U9</f>
        <v>0.01</v>
      </c>
      <c r="V10" s="43">
        <f>IF(T10&gt;'Test de compensation'!$G$121,0,'Calculs détaillés'!V9)</f>
        <v>8312.297233582698</v>
      </c>
      <c r="W10" s="43">
        <f>Y9*U9</f>
        <v>1431.877027664173</v>
      </c>
      <c r="X10" s="43">
        <f aca="true" t="shared" si="8" ref="X10:X58">V10-W10</f>
        <v>6880.4202059185245</v>
      </c>
      <c r="Y10" s="370">
        <f>Y9-X10</f>
        <v>136307.28256049877</v>
      </c>
      <c r="Z10" s="451">
        <f aca="true" t="shared" si="9" ref="Z10:Z58">T10</f>
        <v>2</v>
      </c>
      <c r="AA10" s="133">
        <f aca="true" t="shared" si="10" ref="AA10:AA23">AA9</f>
        <v>0.04</v>
      </c>
      <c r="AB10" s="43">
        <f>IF(Z10&gt;'Test de compensation'!$G$122,0,'Calculs détaillés'!AB9)</f>
        <v>0</v>
      </c>
      <c r="AC10" s="43">
        <f>AE9*AA9</f>
        <v>0</v>
      </c>
      <c r="AD10" s="43">
        <f aca="true" t="shared" si="11" ref="AD10:AD58">AB10-AC10</f>
        <v>0</v>
      </c>
      <c r="AE10" s="43">
        <f>AE9-AD10</f>
        <v>0</v>
      </c>
      <c r="AF10" s="136" t="s">
        <v>107</v>
      </c>
      <c r="AG10" s="467">
        <f>A10</f>
        <v>2</v>
      </c>
      <c r="AH10" s="142">
        <v>0</v>
      </c>
      <c r="AI10" s="57">
        <f>AI9*B9+AI9</f>
        <v>0</v>
      </c>
      <c r="AJ10" s="57">
        <f>AJ9+(AJ9*B9)</f>
        <v>19221.3</v>
      </c>
      <c r="AK10" s="57">
        <f>AK9+(AK9*B9)</f>
        <v>1266.165</v>
      </c>
      <c r="AL10" s="57">
        <f>AL9+(AL9*B9)</f>
        <v>8789.44284</v>
      </c>
      <c r="AM10" s="57">
        <v>0</v>
      </c>
      <c r="AN10" s="57">
        <f>IF(AG10&gt;'Test de compensation'!$D$142,0,AN9)</f>
        <v>435</v>
      </c>
      <c r="AO10" s="203" t="s">
        <v>107</v>
      </c>
      <c r="AP10" s="136" t="s">
        <v>107</v>
      </c>
      <c r="AQ10" s="276">
        <v>0</v>
      </c>
      <c r="AR10" s="203">
        <f>AR9+(AR9*B10)</f>
        <v>8789.44284</v>
      </c>
      <c r="AS10" s="203">
        <f>AR10-AL10</f>
        <v>0</v>
      </c>
      <c r="AT10" s="135">
        <f aca="true" t="shared" si="12" ref="AT10:AT48">AQ10+AS10</f>
        <v>0</v>
      </c>
      <c r="AU10" s="135">
        <f>AU9</f>
        <v>3629.760494070539</v>
      </c>
      <c r="AV10" s="283" t="s">
        <v>107</v>
      </c>
      <c r="AW10" s="142" t="s">
        <v>107</v>
      </c>
      <c r="AX10" s="43" t="s">
        <v>107</v>
      </c>
    </row>
    <row r="11" spans="1:50" ht="12.75">
      <c r="A11" s="44">
        <v>3</v>
      </c>
      <c r="B11" s="287">
        <f t="shared" si="0"/>
        <v>0.017</v>
      </c>
      <c r="C11" s="413">
        <f>IF(A11&gt;'Test de compensation'!$G$119,0,C10+(C10*B11))</f>
        <v>72746.39659912561</v>
      </c>
      <c r="D11" s="133">
        <v>0.03</v>
      </c>
      <c r="E11" s="417">
        <f t="shared" si="1"/>
        <v>-2182.391897973768</v>
      </c>
      <c r="F11" s="43">
        <f aca="true" t="shared" si="13" ref="F11:F58">F10+(F10*B11)</f>
        <v>0</v>
      </c>
      <c r="G11" s="136">
        <f t="shared" si="2"/>
        <v>70564.00470115185</v>
      </c>
      <c r="H11" s="384">
        <f t="shared" si="3"/>
        <v>3</v>
      </c>
      <c r="I11" s="133">
        <f t="shared" si="4"/>
        <v>0.031</v>
      </c>
      <c r="J11" s="43">
        <f>IF(H11&gt;'Test de compensation'!$G$119,0,'Calculs détaillés'!J10)</f>
        <v>48237.83801833731</v>
      </c>
      <c r="K11" s="47">
        <f aca="true" t="shared" si="14" ref="K11:K58">M10*I10</f>
        <v>33117.602565727466</v>
      </c>
      <c r="L11" s="43">
        <f t="shared" si="5"/>
        <v>15120.235452609842</v>
      </c>
      <c r="M11" s="370">
        <f aca="true" t="shared" si="15" ref="M11:M58">M10-L11</f>
        <v>1053189.524732147</v>
      </c>
      <c r="N11" s="451">
        <f aca="true" t="shared" si="16" ref="N11:N58">A11</f>
        <v>3</v>
      </c>
      <c r="O11" s="320">
        <f aca="true" t="shared" si="17" ref="O11:O58">O10</f>
        <v>0.031</v>
      </c>
      <c r="P11" s="43">
        <f>IF(N11&gt;'Test de compensation'!$G$120,0,'Calculs détaillés'!P10)</f>
        <v>11992.899018836059</v>
      </c>
      <c r="Q11" s="47">
        <f aca="true" t="shared" si="18" ref="Q11:Q58">S10*O11</f>
        <v>9222.717399675063</v>
      </c>
      <c r="R11" s="43">
        <f t="shared" si="6"/>
        <v>2770.181619160996</v>
      </c>
      <c r="S11" s="370">
        <f aca="true" t="shared" si="19" ref="S11:S58">S10-R11</f>
        <v>294736.831273583</v>
      </c>
      <c r="T11" s="451">
        <f t="shared" si="7"/>
        <v>3</v>
      </c>
      <c r="U11" s="320">
        <f aca="true" t="shared" si="20" ref="U11:U58">U10</f>
        <v>0.01</v>
      </c>
      <c r="V11" s="43">
        <f>IF(T11&gt;'Test de compensation'!$G$121,0,'Calculs détaillés'!V10)</f>
        <v>8312.297233582698</v>
      </c>
      <c r="W11" s="43">
        <f aca="true" t="shared" si="21" ref="W11:W58">Y10*U10</f>
        <v>1363.0728256049877</v>
      </c>
      <c r="X11" s="43">
        <f t="shared" si="8"/>
        <v>6949.22440797771</v>
      </c>
      <c r="Y11" s="370">
        <f aca="true" t="shared" si="22" ref="Y11:Y58">Y10-X11</f>
        <v>129358.05815252106</v>
      </c>
      <c r="Z11" s="451">
        <f t="shared" si="9"/>
        <v>3</v>
      </c>
      <c r="AA11" s="133">
        <f t="shared" si="10"/>
        <v>0.04</v>
      </c>
      <c r="AB11" s="43">
        <f>IF(Z11&gt;'Test de compensation'!$G$122,0,'Calculs détaillés'!AB10)</f>
        <v>0</v>
      </c>
      <c r="AC11" s="43">
        <f aca="true" t="shared" si="23" ref="AC11:AC58">AE10*AA10</f>
        <v>0</v>
      </c>
      <c r="AD11" s="43">
        <f t="shared" si="11"/>
        <v>0</v>
      </c>
      <c r="AE11" s="43">
        <f aca="true" t="shared" si="24" ref="AE11:AE58">AE10-AD11</f>
        <v>0</v>
      </c>
      <c r="AF11" s="136" t="s">
        <v>107</v>
      </c>
      <c r="AG11" s="467">
        <f aca="true" t="shared" si="25" ref="AG11:AG58">A11</f>
        <v>3</v>
      </c>
      <c r="AH11" s="142">
        <v>0</v>
      </c>
      <c r="AI11" s="57">
        <f>IF(Z11&gt;'Test de compensation'!$D$142,0,AI10+(AI10*B10))</f>
        <v>0</v>
      </c>
      <c r="AJ11" s="57">
        <f>IF(AG11&gt;'Test de compensation'!$D$142,0,'Calculs détaillés'!AJ10+(AJ10*B10))</f>
        <v>19548.0621</v>
      </c>
      <c r="AK11" s="57">
        <f>IF(AG11&gt;'Test de compensation'!$D$142,0,'Calculs détaillés'!AK10+(AK10*B10))</f>
        <v>1287.689805</v>
      </c>
      <c r="AL11" s="57">
        <f>IF(AG11&gt;'Test de compensation'!$D$142,0,'Calculs détaillés'!AL10+(AL10*B10))</f>
        <v>8938.86336828</v>
      </c>
      <c r="AM11" s="57">
        <v>0</v>
      </c>
      <c r="AN11" s="57">
        <f>IF(AG11&gt;'Test de compensation'!$D$142,0,AN10)</f>
        <v>435</v>
      </c>
      <c r="AO11" s="203" t="s">
        <v>107</v>
      </c>
      <c r="AP11" s="136" t="s">
        <v>107</v>
      </c>
      <c r="AQ11" s="276">
        <v>0</v>
      </c>
      <c r="AR11" s="203">
        <v>0</v>
      </c>
      <c r="AS11" s="203">
        <f aca="true" t="shared" si="26" ref="AS11:AS33">AL11-AR11</f>
        <v>8938.86336828</v>
      </c>
      <c r="AT11" s="135">
        <f t="shared" si="12"/>
        <v>8938.86336828</v>
      </c>
      <c r="AU11" s="135">
        <f aca="true" t="shared" si="27" ref="AU11:AU48">AU10</f>
        <v>3629.760494070539</v>
      </c>
      <c r="AV11" s="283" t="s">
        <v>107</v>
      </c>
      <c r="AW11" s="142" t="s">
        <v>107</v>
      </c>
      <c r="AX11" s="43" t="s">
        <v>107</v>
      </c>
    </row>
    <row r="12" spans="1:50" ht="12.75">
      <c r="A12" s="44">
        <v>4</v>
      </c>
      <c r="B12" s="287">
        <f t="shared" si="0"/>
        <v>0.017</v>
      </c>
      <c r="C12" s="413">
        <f>IF(A12&gt;'Test de compensation'!$G$119,0,C11+(C11*B12))</f>
        <v>73983.08534131075</v>
      </c>
      <c r="D12" s="133">
        <v>0.03</v>
      </c>
      <c r="E12" s="417">
        <f t="shared" si="1"/>
        <v>-2219.4925602393228</v>
      </c>
      <c r="F12" s="43">
        <f t="shared" si="13"/>
        <v>0</v>
      </c>
      <c r="G12" s="136">
        <f t="shared" si="2"/>
        <v>71763.59278107143</v>
      </c>
      <c r="H12" s="384">
        <f t="shared" si="3"/>
        <v>4</v>
      </c>
      <c r="I12" s="133">
        <f t="shared" si="4"/>
        <v>0.031</v>
      </c>
      <c r="J12" s="43">
        <f>IF(H12&gt;'Test de compensation'!$G$119,0,'Calculs détaillés'!J11)</f>
        <v>48237.83801833731</v>
      </c>
      <c r="K12" s="47">
        <f t="shared" si="14"/>
        <v>32648.87526669656</v>
      </c>
      <c r="L12" s="43">
        <f t="shared" si="5"/>
        <v>15588.962751640749</v>
      </c>
      <c r="M12" s="370">
        <f t="shared" si="15"/>
        <v>1037600.5619805064</v>
      </c>
      <c r="N12" s="451">
        <f t="shared" si="16"/>
        <v>4</v>
      </c>
      <c r="O12" s="320">
        <f t="shared" si="17"/>
        <v>0.031</v>
      </c>
      <c r="P12" s="43">
        <f>IF(N12&gt;'Test de compensation'!$G$120,0,'Calculs détaillés'!P11)</f>
        <v>11992.899018836059</v>
      </c>
      <c r="Q12" s="47">
        <f t="shared" si="18"/>
        <v>9136.841769481072</v>
      </c>
      <c r="R12" s="43">
        <f t="shared" si="6"/>
        <v>2856.057249354986</v>
      </c>
      <c r="S12" s="370">
        <f t="shared" si="19"/>
        <v>291880.774024228</v>
      </c>
      <c r="T12" s="451">
        <f t="shared" si="7"/>
        <v>4</v>
      </c>
      <c r="U12" s="320">
        <f t="shared" si="20"/>
        <v>0.01</v>
      </c>
      <c r="V12" s="43">
        <f>IF(T12&gt;'Test de compensation'!$G$121,0,'Calculs détaillés'!V11)</f>
        <v>8312.297233582698</v>
      </c>
      <c r="W12" s="43">
        <f t="shared" si="21"/>
        <v>1293.5805815252106</v>
      </c>
      <c r="X12" s="43">
        <f t="shared" si="8"/>
        <v>7018.716652057487</v>
      </c>
      <c r="Y12" s="370">
        <f t="shared" si="22"/>
        <v>122339.34150046358</v>
      </c>
      <c r="Z12" s="451">
        <f t="shared" si="9"/>
        <v>4</v>
      </c>
      <c r="AA12" s="133">
        <f t="shared" si="10"/>
        <v>0.04</v>
      </c>
      <c r="AB12" s="43">
        <f>IF(Z12&gt;'Test de compensation'!$G$122,0,'Calculs détaillés'!AB11)</f>
        <v>0</v>
      </c>
      <c r="AC12" s="43">
        <f t="shared" si="23"/>
        <v>0</v>
      </c>
      <c r="AD12" s="43">
        <f t="shared" si="11"/>
        <v>0</v>
      </c>
      <c r="AE12" s="43">
        <f t="shared" si="24"/>
        <v>0</v>
      </c>
      <c r="AF12" s="136" t="s">
        <v>107</v>
      </c>
      <c r="AG12" s="467">
        <f t="shared" si="25"/>
        <v>4</v>
      </c>
      <c r="AH12" s="142">
        <v>0</v>
      </c>
      <c r="AI12" s="57">
        <f>IF(Z12&gt;'Test de compensation'!$D$142,0,AI11+(AI11*B11))</f>
        <v>0</v>
      </c>
      <c r="AJ12" s="57">
        <f>IF(AG12&gt;'Test de compensation'!$D$142,0,'Calculs détaillés'!AJ11+(AJ11*B11))</f>
        <v>19880.3791557</v>
      </c>
      <c r="AK12" s="57">
        <f>IF(AG12&gt;'Test de compensation'!$D$142,0,'Calculs détaillés'!AK11+(AK11*B11))</f>
        <v>1309.5805316849999</v>
      </c>
      <c r="AL12" s="57">
        <f>IF(AG12&gt;'Test de compensation'!$D$142,0,'Calculs détaillés'!AL11+(AL11*B11))</f>
        <v>9090.82404554076</v>
      </c>
      <c r="AM12" s="57">
        <v>0</v>
      </c>
      <c r="AN12" s="57">
        <f>IF(AG12&gt;'Test de compensation'!$D$142,0,AN11)</f>
        <v>435</v>
      </c>
      <c r="AO12" s="203" t="s">
        <v>107</v>
      </c>
      <c r="AP12" s="136" t="s">
        <v>107</v>
      </c>
      <c r="AQ12" s="276">
        <v>0</v>
      </c>
      <c r="AR12" s="203">
        <v>0</v>
      </c>
      <c r="AS12" s="203">
        <f t="shared" si="26"/>
        <v>9090.82404554076</v>
      </c>
      <c r="AT12" s="135">
        <f t="shared" si="12"/>
        <v>9090.82404554076</v>
      </c>
      <c r="AU12" s="135">
        <f t="shared" si="27"/>
        <v>3629.760494070539</v>
      </c>
      <c r="AV12" s="283" t="s">
        <v>107</v>
      </c>
      <c r="AW12" s="142" t="s">
        <v>107</v>
      </c>
      <c r="AX12" s="43" t="s">
        <v>107</v>
      </c>
    </row>
    <row r="13" spans="1:50" ht="12.75">
      <c r="A13" s="44">
        <v>5</v>
      </c>
      <c r="B13" s="287">
        <f t="shared" si="0"/>
        <v>0.017</v>
      </c>
      <c r="C13" s="413">
        <f>IF(A13&gt;'Test de compensation'!$G$119,0,C12+(C12*B13))</f>
        <v>75240.79779211304</v>
      </c>
      <c r="D13" s="133">
        <v>0.03</v>
      </c>
      <c r="E13" s="417">
        <f t="shared" si="1"/>
        <v>-2257.223933763391</v>
      </c>
      <c r="F13" s="43">
        <f t="shared" si="13"/>
        <v>0</v>
      </c>
      <c r="G13" s="136">
        <f t="shared" si="2"/>
        <v>72983.57385834964</v>
      </c>
      <c r="H13" s="384">
        <f t="shared" si="3"/>
        <v>5</v>
      </c>
      <c r="I13" s="133">
        <f t="shared" si="4"/>
        <v>0.031</v>
      </c>
      <c r="J13" s="43">
        <f>IF(H13&gt;'Test de compensation'!$G$119,0,'Calculs détaillés'!J12)</f>
        <v>48237.83801833731</v>
      </c>
      <c r="K13" s="47">
        <f t="shared" si="14"/>
        <v>32165.6174213957</v>
      </c>
      <c r="L13" s="43">
        <f t="shared" si="5"/>
        <v>16072.22059694161</v>
      </c>
      <c r="M13" s="370">
        <f t="shared" si="15"/>
        <v>1021528.3413835648</v>
      </c>
      <c r="N13" s="451">
        <f t="shared" si="16"/>
        <v>5</v>
      </c>
      <c r="O13" s="320">
        <f t="shared" si="17"/>
        <v>0.031</v>
      </c>
      <c r="P13" s="43">
        <f>IF(N13&gt;'Test de compensation'!$G$120,0,'Calculs détaillés'!P12)</f>
        <v>11992.899018836059</v>
      </c>
      <c r="Q13" s="47">
        <f t="shared" si="18"/>
        <v>9048.303994751068</v>
      </c>
      <c r="R13" s="43">
        <f t="shared" si="6"/>
        <v>2944.5950240849907</v>
      </c>
      <c r="S13" s="370">
        <f t="shared" si="19"/>
        <v>288936.179000143</v>
      </c>
      <c r="T13" s="451">
        <f t="shared" si="7"/>
        <v>5</v>
      </c>
      <c r="U13" s="320">
        <f t="shared" si="20"/>
        <v>0.01</v>
      </c>
      <c r="V13" s="43">
        <f>IF(T13&gt;'Test de compensation'!$G$121,0,'Calculs détaillés'!V12)</f>
        <v>8312.297233582698</v>
      </c>
      <c r="W13" s="43">
        <f t="shared" si="21"/>
        <v>1223.3934150046357</v>
      </c>
      <c r="X13" s="43">
        <f t="shared" si="8"/>
        <v>7088.903818578063</v>
      </c>
      <c r="Y13" s="370">
        <f t="shared" si="22"/>
        <v>115250.43768188551</v>
      </c>
      <c r="Z13" s="451">
        <f t="shared" si="9"/>
        <v>5</v>
      </c>
      <c r="AA13" s="133">
        <f t="shared" si="10"/>
        <v>0.04</v>
      </c>
      <c r="AB13" s="43">
        <f>IF(Z13&gt;'Test de compensation'!$G$122,0,'Calculs détaillés'!AB12)</f>
        <v>0</v>
      </c>
      <c r="AC13" s="43">
        <f t="shared" si="23"/>
        <v>0</v>
      </c>
      <c r="AD13" s="43">
        <f t="shared" si="11"/>
        <v>0</v>
      </c>
      <c r="AE13" s="43">
        <f t="shared" si="24"/>
        <v>0</v>
      </c>
      <c r="AF13" s="136" t="s">
        <v>107</v>
      </c>
      <c r="AG13" s="467">
        <f t="shared" si="25"/>
        <v>5</v>
      </c>
      <c r="AH13" s="142">
        <v>0</v>
      </c>
      <c r="AI13" s="57">
        <f>IF(Z13&gt;'Test de compensation'!$D$142,0,AI12+(AI12*B12))</f>
        <v>0</v>
      </c>
      <c r="AJ13" s="57">
        <f>IF(AG13&gt;'Test de compensation'!$D$142,0,'Calculs détaillés'!AJ12+(AJ12*B12))</f>
        <v>20218.3456013469</v>
      </c>
      <c r="AK13" s="57">
        <f>IF(AG13&gt;'Test de compensation'!$D$142,0,'Calculs détaillés'!AK12+(AK12*B12))</f>
        <v>1331.843400723645</v>
      </c>
      <c r="AL13" s="57">
        <f>IF(AG13&gt;'Test de compensation'!$D$142,0,'Calculs détaillés'!AL12+(AL12*B12))</f>
        <v>9245.368054314953</v>
      </c>
      <c r="AM13" s="57">
        <v>0</v>
      </c>
      <c r="AN13" s="57">
        <f>IF(AG13&gt;'Test de compensation'!$D$142,0,AN12)</f>
        <v>435</v>
      </c>
      <c r="AO13" s="203" t="s">
        <v>107</v>
      </c>
      <c r="AP13" s="136" t="s">
        <v>107</v>
      </c>
      <c r="AQ13" s="276">
        <v>0</v>
      </c>
      <c r="AR13" s="203">
        <v>0</v>
      </c>
      <c r="AS13" s="203">
        <f t="shared" si="26"/>
        <v>9245.368054314953</v>
      </c>
      <c r="AT13" s="135">
        <f t="shared" si="12"/>
        <v>9245.368054314953</v>
      </c>
      <c r="AU13" s="135">
        <f t="shared" si="27"/>
        <v>3629.760494070539</v>
      </c>
      <c r="AV13" s="283" t="s">
        <v>107</v>
      </c>
      <c r="AW13" s="142" t="s">
        <v>107</v>
      </c>
      <c r="AX13" s="43" t="s">
        <v>107</v>
      </c>
    </row>
    <row r="14" spans="1:50" ht="12.75">
      <c r="A14" s="44">
        <v>6</v>
      </c>
      <c r="B14" s="287">
        <f t="shared" si="0"/>
        <v>0.017</v>
      </c>
      <c r="C14" s="413">
        <f>IF(A14&gt;'Test de compensation'!$G$119,0,C13+(C13*B14))</f>
        <v>76519.89135457895</v>
      </c>
      <c r="D14" s="133">
        <v>0.03</v>
      </c>
      <c r="E14" s="417">
        <f t="shared" si="1"/>
        <v>-2295.5967406373684</v>
      </c>
      <c r="F14" s="43">
        <f t="shared" si="13"/>
        <v>0</v>
      </c>
      <c r="G14" s="136">
        <f t="shared" si="2"/>
        <v>74224.29461394159</v>
      </c>
      <c r="H14" s="384">
        <f t="shared" si="3"/>
        <v>6</v>
      </c>
      <c r="I14" s="133">
        <f t="shared" si="4"/>
        <v>0.031</v>
      </c>
      <c r="J14" s="43">
        <f>IF(H14&gt;'Test de compensation'!$G$119,0,'Calculs détaillés'!J13)</f>
        <v>48237.83801833731</v>
      </c>
      <c r="K14" s="47">
        <f t="shared" si="14"/>
        <v>31667.378582890506</v>
      </c>
      <c r="L14" s="43">
        <f t="shared" si="5"/>
        <v>16570.459435446803</v>
      </c>
      <c r="M14" s="370">
        <f t="shared" si="15"/>
        <v>1004957.881948118</v>
      </c>
      <c r="N14" s="451">
        <f t="shared" si="16"/>
        <v>6</v>
      </c>
      <c r="O14" s="320">
        <f t="shared" si="17"/>
        <v>0.031</v>
      </c>
      <c r="P14" s="43">
        <f>IF(N14&gt;'Test de compensation'!$G$120,0,'Calculs détaillés'!P13)</f>
        <v>11992.899018836059</v>
      </c>
      <c r="Q14" s="47">
        <f t="shared" si="18"/>
        <v>8957.021549004434</v>
      </c>
      <c r="R14" s="43">
        <f t="shared" si="6"/>
        <v>3035.8774698316247</v>
      </c>
      <c r="S14" s="370">
        <f t="shared" si="19"/>
        <v>285900.3015303114</v>
      </c>
      <c r="T14" s="451">
        <f t="shared" si="7"/>
        <v>6</v>
      </c>
      <c r="U14" s="320">
        <f t="shared" si="20"/>
        <v>0.01</v>
      </c>
      <c r="V14" s="43">
        <f>IF(T14&gt;'Test de compensation'!$G$121,0,'Calculs détaillés'!V13)</f>
        <v>8312.297233582698</v>
      </c>
      <c r="W14" s="43">
        <f t="shared" si="21"/>
        <v>1152.504376818855</v>
      </c>
      <c r="X14" s="43">
        <f t="shared" si="8"/>
        <v>7159.792856763843</v>
      </c>
      <c r="Y14" s="370">
        <f t="shared" si="22"/>
        <v>108090.64482512166</v>
      </c>
      <c r="Z14" s="451">
        <f t="shared" si="9"/>
        <v>6</v>
      </c>
      <c r="AA14" s="133">
        <f t="shared" si="10"/>
        <v>0.04</v>
      </c>
      <c r="AB14" s="43">
        <f>IF(Z14&gt;'Test de compensation'!$G$122,0,'Calculs détaillés'!AB13)</f>
        <v>0</v>
      </c>
      <c r="AC14" s="43">
        <f t="shared" si="23"/>
        <v>0</v>
      </c>
      <c r="AD14" s="43">
        <f t="shared" si="11"/>
        <v>0</v>
      </c>
      <c r="AE14" s="43">
        <f t="shared" si="24"/>
        <v>0</v>
      </c>
      <c r="AF14" s="136" t="s">
        <v>107</v>
      </c>
      <c r="AG14" s="467">
        <f t="shared" si="25"/>
        <v>6</v>
      </c>
      <c r="AH14" s="142">
        <v>0</v>
      </c>
      <c r="AI14" s="57">
        <f>IF(Z14&gt;'Test de compensation'!$D$142,0,AI13+(AI13*B13))</f>
        <v>0</v>
      </c>
      <c r="AJ14" s="57">
        <f>IF(AG14&gt;'Test de compensation'!$D$142,0,'Calculs détaillés'!AJ13+(AJ13*B13))</f>
        <v>20562.057476569797</v>
      </c>
      <c r="AK14" s="57">
        <f>IF(AG14&gt;'Test de compensation'!$D$142,0,'Calculs détaillés'!AK13+(AK13*B13))</f>
        <v>1354.484738535947</v>
      </c>
      <c r="AL14" s="57">
        <f>IF(AG14&gt;'Test de compensation'!$D$142,0,'Calculs détaillés'!AL13+(AL13*B13))</f>
        <v>9402.539311238308</v>
      </c>
      <c r="AM14" s="57">
        <v>0</v>
      </c>
      <c r="AN14" s="57">
        <f>IF(AG14&gt;'Test de compensation'!$D$142,0,AN13)</f>
        <v>435</v>
      </c>
      <c r="AO14" s="203" t="s">
        <v>107</v>
      </c>
      <c r="AP14" s="136" t="s">
        <v>107</v>
      </c>
      <c r="AQ14" s="276">
        <v>0</v>
      </c>
      <c r="AR14" s="203">
        <v>0</v>
      </c>
      <c r="AS14" s="203">
        <f t="shared" si="26"/>
        <v>9402.539311238308</v>
      </c>
      <c r="AT14" s="135">
        <f t="shared" si="12"/>
        <v>9402.539311238308</v>
      </c>
      <c r="AU14" s="135">
        <f t="shared" si="27"/>
        <v>3629.760494070539</v>
      </c>
      <c r="AV14" s="283" t="s">
        <v>107</v>
      </c>
      <c r="AW14" s="142" t="s">
        <v>107</v>
      </c>
      <c r="AX14" s="43" t="s">
        <v>107</v>
      </c>
    </row>
    <row r="15" spans="1:50" ht="12.75">
      <c r="A15" s="44">
        <v>7</v>
      </c>
      <c r="B15" s="287">
        <f t="shared" si="0"/>
        <v>0.017</v>
      </c>
      <c r="C15" s="413">
        <f>IF(A15&gt;'Test de compensation'!$G$119,0,C14+(C14*B15))</f>
        <v>77820.7295076068</v>
      </c>
      <c r="D15" s="133">
        <v>0.03</v>
      </c>
      <c r="E15" s="417">
        <f t="shared" si="1"/>
        <v>-2334.6218852282036</v>
      </c>
      <c r="F15" s="43">
        <f t="shared" si="13"/>
        <v>0</v>
      </c>
      <c r="G15" s="136">
        <f t="shared" si="2"/>
        <v>75486.1076223786</v>
      </c>
      <c r="H15" s="384">
        <f t="shared" si="3"/>
        <v>7</v>
      </c>
      <c r="I15" s="133">
        <f t="shared" si="4"/>
        <v>0.031</v>
      </c>
      <c r="J15" s="43">
        <f>IF(H15&gt;'Test de compensation'!$G$119,0,'Calculs détaillés'!J14)</f>
        <v>48237.83801833731</v>
      </c>
      <c r="K15" s="47">
        <f t="shared" si="14"/>
        <v>31153.694340391656</v>
      </c>
      <c r="L15" s="43">
        <f t="shared" si="5"/>
        <v>17084.143677945653</v>
      </c>
      <c r="M15" s="370">
        <f t="shared" si="15"/>
        <v>987873.7382701724</v>
      </c>
      <c r="N15" s="451">
        <f t="shared" si="16"/>
        <v>7</v>
      </c>
      <c r="O15" s="320">
        <f t="shared" si="17"/>
        <v>0.031</v>
      </c>
      <c r="P15" s="43">
        <f>IF(N15&gt;'Test de compensation'!$G$120,0,'Calculs détaillés'!P14)</f>
        <v>11992.899018836059</v>
      </c>
      <c r="Q15" s="47">
        <f t="shared" si="18"/>
        <v>8862.909347439654</v>
      </c>
      <c r="R15" s="43">
        <f t="shared" si="6"/>
        <v>3129.9896713964044</v>
      </c>
      <c r="S15" s="370">
        <f t="shared" si="19"/>
        <v>282770.311858915</v>
      </c>
      <c r="T15" s="451">
        <f t="shared" si="7"/>
        <v>7</v>
      </c>
      <c r="U15" s="320">
        <f t="shared" si="20"/>
        <v>0.01</v>
      </c>
      <c r="V15" s="43">
        <f>IF(T15&gt;'Test de compensation'!$G$121,0,'Calculs détaillés'!V14)</f>
        <v>8312.297233582698</v>
      </c>
      <c r="W15" s="43">
        <f t="shared" si="21"/>
        <v>1080.9064482512167</v>
      </c>
      <c r="X15" s="43">
        <f t="shared" si="8"/>
        <v>7231.390785331481</v>
      </c>
      <c r="Y15" s="370">
        <f t="shared" si="22"/>
        <v>100859.25403979019</v>
      </c>
      <c r="Z15" s="451">
        <f t="shared" si="9"/>
        <v>7</v>
      </c>
      <c r="AA15" s="133">
        <f t="shared" si="10"/>
        <v>0.04</v>
      </c>
      <c r="AB15" s="43">
        <f>IF(Z15&gt;'Test de compensation'!$G$122,0,'Calculs détaillés'!AB14)</f>
        <v>0</v>
      </c>
      <c r="AC15" s="43">
        <f t="shared" si="23"/>
        <v>0</v>
      </c>
      <c r="AD15" s="43">
        <f t="shared" si="11"/>
        <v>0</v>
      </c>
      <c r="AE15" s="43">
        <f t="shared" si="24"/>
        <v>0</v>
      </c>
      <c r="AF15" s="136" t="s">
        <v>107</v>
      </c>
      <c r="AG15" s="467">
        <f t="shared" si="25"/>
        <v>7</v>
      </c>
      <c r="AH15" s="142">
        <v>0</v>
      </c>
      <c r="AI15" s="57">
        <f>IF(Z15&gt;'Test de compensation'!$D$142,0,AI14+(AI14*B14))</f>
        <v>0</v>
      </c>
      <c r="AJ15" s="57">
        <f>IF(AG15&gt;'Test de compensation'!$D$142,0,'Calculs détaillés'!AJ14+(AJ14*B14))</f>
        <v>20911.61245367148</v>
      </c>
      <c r="AK15" s="57">
        <f>IF(AG15&gt;'Test de compensation'!$D$142,0,'Calculs détaillés'!AK14+(AK14*B14))</f>
        <v>1377.510979091058</v>
      </c>
      <c r="AL15" s="57">
        <f>IF(AG15&gt;'Test de compensation'!$D$142,0,'Calculs détaillés'!AL14+(AL14*B14))</f>
        <v>9562.382479529359</v>
      </c>
      <c r="AM15" s="57">
        <v>0</v>
      </c>
      <c r="AN15" s="57">
        <f>IF(AG15&gt;'Test de compensation'!$D$142,0,AN14)</f>
        <v>435</v>
      </c>
      <c r="AO15" s="203" t="s">
        <v>107</v>
      </c>
      <c r="AP15" s="136" t="s">
        <v>107</v>
      </c>
      <c r="AQ15" s="276">
        <v>0</v>
      </c>
      <c r="AR15" s="203">
        <v>0</v>
      </c>
      <c r="AS15" s="203">
        <f t="shared" si="26"/>
        <v>9562.382479529359</v>
      </c>
      <c r="AT15" s="135">
        <f t="shared" si="12"/>
        <v>9562.382479529359</v>
      </c>
      <c r="AU15" s="135">
        <f t="shared" si="27"/>
        <v>3629.760494070539</v>
      </c>
      <c r="AV15" s="283" t="s">
        <v>107</v>
      </c>
      <c r="AW15" s="142" t="s">
        <v>107</v>
      </c>
      <c r="AX15" s="43" t="s">
        <v>107</v>
      </c>
    </row>
    <row r="16" spans="1:50" ht="12.75">
      <c r="A16" s="44">
        <v>8</v>
      </c>
      <c r="B16" s="287">
        <f t="shared" si="0"/>
        <v>0.017</v>
      </c>
      <c r="C16" s="413">
        <f>IF(A16&gt;'Test de compensation'!$G$119,0,C15+(C15*B16))</f>
        <v>79143.68190923611</v>
      </c>
      <c r="D16" s="133">
        <v>0.03</v>
      </c>
      <c r="E16" s="417">
        <f t="shared" si="1"/>
        <v>-2374.310457277083</v>
      </c>
      <c r="F16" s="43">
        <f t="shared" si="13"/>
        <v>0</v>
      </c>
      <c r="G16" s="136">
        <f t="shared" si="2"/>
        <v>76769.37145195903</v>
      </c>
      <c r="H16" s="384">
        <f t="shared" si="3"/>
        <v>8</v>
      </c>
      <c r="I16" s="133">
        <f t="shared" si="4"/>
        <v>0.031</v>
      </c>
      <c r="J16" s="43">
        <f>IF(H16&gt;'Test de compensation'!$G$119,0,'Calculs détaillés'!J15)</f>
        <v>48237.83801833731</v>
      </c>
      <c r="K16" s="47">
        <f t="shared" si="14"/>
        <v>30624.085886375342</v>
      </c>
      <c r="L16" s="43">
        <f t="shared" si="5"/>
        <v>17613.752131961966</v>
      </c>
      <c r="M16" s="370">
        <f t="shared" si="15"/>
        <v>970259.9861382104</v>
      </c>
      <c r="N16" s="451">
        <f t="shared" si="16"/>
        <v>8</v>
      </c>
      <c r="O16" s="320">
        <f t="shared" si="17"/>
        <v>0.031</v>
      </c>
      <c r="P16" s="43">
        <f>IF(N16&gt;'Test de compensation'!$G$120,0,'Calculs détaillés'!P15)</f>
        <v>11992.899018836059</v>
      </c>
      <c r="Q16" s="47">
        <f t="shared" si="18"/>
        <v>8765.879667626366</v>
      </c>
      <c r="R16" s="43">
        <f t="shared" si="6"/>
        <v>3227.019351209692</v>
      </c>
      <c r="S16" s="370">
        <f t="shared" si="19"/>
        <v>279543.29250770534</v>
      </c>
      <c r="T16" s="451">
        <f t="shared" si="7"/>
        <v>8</v>
      </c>
      <c r="U16" s="320">
        <f t="shared" si="20"/>
        <v>0.01</v>
      </c>
      <c r="V16" s="43">
        <f>IF(T16&gt;'Test de compensation'!$G$121,0,'Calculs détaillés'!V15)</f>
        <v>8312.297233582698</v>
      </c>
      <c r="W16" s="43">
        <f t="shared" si="21"/>
        <v>1008.5925403979019</v>
      </c>
      <c r="X16" s="43">
        <f t="shared" si="8"/>
        <v>7303.704693184796</v>
      </c>
      <c r="Y16" s="370">
        <f t="shared" si="22"/>
        <v>93555.54934660539</v>
      </c>
      <c r="Z16" s="451">
        <f t="shared" si="9"/>
        <v>8</v>
      </c>
      <c r="AA16" s="133">
        <f t="shared" si="10"/>
        <v>0.04</v>
      </c>
      <c r="AB16" s="43">
        <f>IF(Z16&gt;'Test de compensation'!$G$122,0,'Calculs détaillés'!AB15)</f>
        <v>0</v>
      </c>
      <c r="AC16" s="43">
        <f t="shared" si="23"/>
        <v>0</v>
      </c>
      <c r="AD16" s="43">
        <f t="shared" si="11"/>
        <v>0</v>
      </c>
      <c r="AE16" s="43">
        <f t="shared" si="24"/>
        <v>0</v>
      </c>
      <c r="AF16" s="136" t="s">
        <v>107</v>
      </c>
      <c r="AG16" s="467">
        <f t="shared" si="25"/>
        <v>8</v>
      </c>
      <c r="AH16" s="142">
        <v>0</v>
      </c>
      <c r="AI16" s="57">
        <f>IF(Z16&gt;'Test de compensation'!$D$142,0,AI15+(AI15*B15))</f>
        <v>0</v>
      </c>
      <c r="AJ16" s="57">
        <f>IF(AG16&gt;'Test de compensation'!$D$142,0,'Calculs détaillés'!AJ15+(AJ15*B15))</f>
        <v>21267.109865383896</v>
      </c>
      <c r="AK16" s="57">
        <f>IF(AG16&gt;'Test de compensation'!$D$142,0,'Calculs détaillés'!AK15+(AK15*B15))</f>
        <v>1400.928665735606</v>
      </c>
      <c r="AL16" s="57">
        <f>IF(AG16&gt;'Test de compensation'!$D$142,0,'Calculs détaillés'!AL15+(AL15*B15))</f>
        <v>9724.942981681357</v>
      </c>
      <c r="AM16" s="57">
        <v>0</v>
      </c>
      <c r="AN16" s="57">
        <f>IF(AG16&gt;'Test de compensation'!$D$142,0,AN15)</f>
        <v>435</v>
      </c>
      <c r="AO16" s="203" t="s">
        <v>107</v>
      </c>
      <c r="AP16" s="136" t="s">
        <v>107</v>
      </c>
      <c r="AQ16" s="276">
        <v>0</v>
      </c>
      <c r="AR16" s="203">
        <v>0</v>
      </c>
      <c r="AS16" s="203">
        <f t="shared" si="26"/>
        <v>9724.942981681357</v>
      </c>
      <c r="AT16" s="135">
        <f t="shared" si="12"/>
        <v>9724.942981681357</v>
      </c>
      <c r="AU16" s="135">
        <f t="shared" si="27"/>
        <v>3629.760494070539</v>
      </c>
      <c r="AV16" s="283" t="s">
        <v>107</v>
      </c>
      <c r="AW16" s="142" t="s">
        <v>107</v>
      </c>
      <c r="AX16" s="43" t="s">
        <v>107</v>
      </c>
    </row>
    <row r="17" spans="1:50" ht="12.75">
      <c r="A17" s="44">
        <v>9</v>
      </c>
      <c r="B17" s="287">
        <f t="shared" si="0"/>
        <v>0.017</v>
      </c>
      <c r="C17" s="413">
        <f>IF(A17&gt;'Test de compensation'!$G$119,0,C16+(C16*B17))</f>
        <v>80489.12450169312</v>
      </c>
      <c r="D17" s="133">
        <v>0.03</v>
      </c>
      <c r="E17" s="417">
        <f t="shared" si="1"/>
        <v>-2414.6737350507933</v>
      </c>
      <c r="F17" s="43">
        <f t="shared" si="13"/>
        <v>0</v>
      </c>
      <c r="G17" s="136">
        <f t="shared" si="2"/>
        <v>78074.45076664233</v>
      </c>
      <c r="H17" s="384">
        <f t="shared" si="3"/>
        <v>9</v>
      </c>
      <c r="I17" s="133">
        <f t="shared" si="4"/>
        <v>0.031</v>
      </c>
      <c r="J17" s="43">
        <f>IF(H17&gt;'Test de compensation'!$G$119,0,'Calculs détaillés'!J16)</f>
        <v>48237.83801833731</v>
      </c>
      <c r="K17" s="47">
        <f t="shared" si="14"/>
        <v>30078.059570284524</v>
      </c>
      <c r="L17" s="43">
        <f t="shared" si="5"/>
        <v>18159.778448052784</v>
      </c>
      <c r="M17" s="370">
        <f t="shared" si="15"/>
        <v>952100.2076901576</v>
      </c>
      <c r="N17" s="451">
        <f t="shared" si="16"/>
        <v>9</v>
      </c>
      <c r="O17" s="320">
        <f t="shared" si="17"/>
        <v>0.031</v>
      </c>
      <c r="P17" s="43">
        <f>IF(N17&gt;'Test de compensation'!$G$120,0,'Calculs détaillés'!P16)</f>
        <v>11992.899018836059</v>
      </c>
      <c r="Q17" s="47">
        <f t="shared" si="18"/>
        <v>8665.842067738866</v>
      </c>
      <c r="R17" s="43">
        <f t="shared" si="6"/>
        <v>3327.0569510971927</v>
      </c>
      <c r="S17" s="370">
        <f t="shared" si="19"/>
        <v>276216.2355566081</v>
      </c>
      <c r="T17" s="451">
        <f t="shared" si="7"/>
        <v>9</v>
      </c>
      <c r="U17" s="320">
        <f t="shared" si="20"/>
        <v>0.01</v>
      </c>
      <c r="V17" s="43">
        <f>IF(T17&gt;'Test de compensation'!$G$121,0,'Calculs détaillés'!V16)</f>
        <v>8312.297233582698</v>
      </c>
      <c r="W17" s="43">
        <f t="shared" si="21"/>
        <v>935.5554934660539</v>
      </c>
      <c r="X17" s="43">
        <f t="shared" si="8"/>
        <v>7376.741740116644</v>
      </c>
      <c r="Y17" s="370">
        <f t="shared" si="22"/>
        <v>86178.80760648874</v>
      </c>
      <c r="Z17" s="451">
        <f t="shared" si="9"/>
        <v>9</v>
      </c>
      <c r="AA17" s="133">
        <f t="shared" si="10"/>
        <v>0.04</v>
      </c>
      <c r="AB17" s="43">
        <f>IF(Z17&gt;'Test de compensation'!$G$122,0,'Calculs détaillés'!AB16)</f>
        <v>0</v>
      </c>
      <c r="AC17" s="43">
        <f t="shared" si="23"/>
        <v>0</v>
      </c>
      <c r="AD17" s="43">
        <f t="shared" si="11"/>
        <v>0</v>
      </c>
      <c r="AE17" s="43">
        <f t="shared" si="24"/>
        <v>0</v>
      </c>
      <c r="AF17" s="136" t="s">
        <v>107</v>
      </c>
      <c r="AG17" s="467">
        <f t="shared" si="25"/>
        <v>9</v>
      </c>
      <c r="AH17" s="142">
        <v>0</v>
      </c>
      <c r="AI17" s="57">
        <f>IF(Z17&gt;'Test de compensation'!$D$142,0,AI16+(AI16*B16))</f>
        <v>0</v>
      </c>
      <c r="AJ17" s="57">
        <f>IF(AG17&gt;'Test de compensation'!$D$142,0,'Calculs détaillés'!AJ16+(AJ16*B16))</f>
        <v>21628.650733095423</v>
      </c>
      <c r="AK17" s="57">
        <f>IF(AG17&gt;'Test de compensation'!$D$142,0,'Calculs détaillés'!AK16+(AK16*B16))</f>
        <v>1424.7444530531113</v>
      </c>
      <c r="AL17" s="57">
        <f>IF(AG17&gt;'Test de compensation'!$D$142,0,'Calculs détaillés'!AL16+(AL16*B16))</f>
        <v>9890.26701236994</v>
      </c>
      <c r="AM17" s="57">
        <v>0</v>
      </c>
      <c r="AN17" s="57">
        <f>IF(AG17&gt;'Test de compensation'!$D$142,0,AN16)</f>
        <v>435</v>
      </c>
      <c r="AO17" s="203" t="s">
        <v>107</v>
      </c>
      <c r="AP17" s="136" t="s">
        <v>107</v>
      </c>
      <c r="AQ17" s="276">
        <v>0</v>
      </c>
      <c r="AR17" s="203">
        <v>0</v>
      </c>
      <c r="AS17" s="203">
        <f t="shared" si="26"/>
        <v>9890.26701236994</v>
      </c>
      <c r="AT17" s="135">
        <f t="shared" si="12"/>
        <v>9890.26701236994</v>
      </c>
      <c r="AU17" s="135">
        <f t="shared" si="27"/>
        <v>3629.760494070539</v>
      </c>
      <c r="AV17" s="283" t="s">
        <v>107</v>
      </c>
      <c r="AW17" s="142" t="s">
        <v>107</v>
      </c>
      <c r="AX17" s="43" t="s">
        <v>107</v>
      </c>
    </row>
    <row r="18" spans="1:50" ht="12.75">
      <c r="A18" s="44">
        <v>10</v>
      </c>
      <c r="B18" s="287">
        <f t="shared" si="0"/>
        <v>0.017</v>
      </c>
      <c r="C18" s="413">
        <f>IF(A18&gt;'Test de compensation'!$G$119,0,C17+(C17*B18))</f>
        <v>81857.4396182219</v>
      </c>
      <c r="D18" s="133">
        <v>0.03</v>
      </c>
      <c r="E18" s="417">
        <f t="shared" si="1"/>
        <v>-2455.723188546657</v>
      </c>
      <c r="F18" s="43">
        <f t="shared" si="13"/>
        <v>0</v>
      </c>
      <c r="G18" s="136">
        <f t="shared" si="2"/>
        <v>79401.71642967525</v>
      </c>
      <c r="H18" s="384">
        <f t="shared" si="3"/>
        <v>10</v>
      </c>
      <c r="I18" s="133">
        <f t="shared" si="4"/>
        <v>0.031</v>
      </c>
      <c r="J18" s="43">
        <f>IF(H18&gt;'Test de compensation'!$G$119,0,'Calculs détaillés'!J17)</f>
        <v>48237.83801833731</v>
      </c>
      <c r="K18" s="47">
        <f t="shared" si="14"/>
        <v>29515.106438394883</v>
      </c>
      <c r="L18" s="43">
        <f t="shared" si="5"/>
        <v>18722.731579942425</v>
      </c>
      <c r="M18" s="370">
        <f t="shared" si="15"/>
        <v>933377.4761102152</v>
      </c>
      <c r="N18" s="451">
        <f t="shared" si="16"/>
        <v>10</v>
      </c>
      <c r="O18" s="320">
        <f t="shared" si="17"/>
        <v>0.031</v>
      </c>
      <c r="P18" s="43">
        <f>IF(N18&gt;'Test de compensation'!$G$120,0,'Calculs détaillés'!P17)</f>
        <v>11992.899018836059</v>
      </c>
      <c r="Q18" s="47">
        <f t="shared" si="18"/>
        <v>8562.703302254851</v>
      </c>
      <c r="R18" s="43">
        <f t="shared" si="6"/>
        <v>3430.1957165812073</v>
      </c>
      <c r="S18" s="370">
        <f t="shared" si="19"/>
        <v>272786.03984002693</v>
      </c>
      <c r="T18" s="451">
        <f t="shared" si="7"/>
        <v>10</v>
      </c>
      <c r="U18" s="320">
        <f t="shared" si="20"/>
        <v>0.01</v>
      </c>
      <c r="V18" s="43">
        <f>IF(T18&gt;'Test de compensation'!$G$121,0,'Calculs détaillés'!V17)</f>
        <v>8312.297233582698</v>
      </c>
      <c r="W18" s="43">
        <f t="shared" si="21"/>
        <v>861.7880760648875</v>
      </c>
      <c r="X18" s="43">
        <f t="shared" si="8"/>
        <v>7450.50915751781</v>
      </c>
      <c r="Y18" s="370">
        <f t="shared" si="22"/>
        <v>78728.29844897093</v>
      </c>
      <c r="Z18" s="451">
        <f t="shared" si="9"/>
        <v>10</v>
      </c>
      <c r="AA18" s="133">
        <f t="shared" si="10"/>
        <v>0.04</v>
      </c>
      <c r="AB18" s="43">
        <f>IF(Z18&gt;'Test de compensation'!$G$122,0,'Calculs détaillés'!AB17)</f>
        <v>0</v>
      </c>
      <c r="AC18" s="43">
        <f t="shared" si="23"/>
        <v>0</v>
      </c>
      <c r="AD18" s="43">
        <f t="shared" si="11"/>
        <v>0</v>
      </c>
      <c r="AE18" s="43">
        <f t="shared" si="24"/>
        <v>0</v>
      </c>
      <c r="AF18" s="136" t="s">
        <v>107</v>
      </c>
      <c r="AG18" s="467">
        <f t="shared" si="25"/>
        <v>10</v>
      </c>
      <c r="AH18" s="142">
        <v>0</v>
      </c>
      <c r="AI18" s="57">
        <f>IF(Z18&gt;'Test de compensation'!$D$142,0,AI17+(AI17*B17))</f>
        <v>0</v>
      </c>
      <c r="AJ18" s="57">
        <f>IF(AG18&gt;'Test de compensation'!$D$142,0,'Calculs détaillés'!AJ17+(AJ17*B17))</f>
        <v>21996.337795558044</v>
      </c>
      <c r="AK18" s="57">
        <f>IF(AG18&gt;'Test de compensation'!$D$142,0,'Calculs détaillés'!AK17+(AK17*B17))</f>
        <v>1448.9651087550142</v>
      </c>
      <c r="AL18" s="57">
        <f>IF(AG18&gt;'Test de compensation'!$D$142,0,'Calculs détaillés'!AL17+(AL17*B17))</f>
        <v>10058.40155158023</v>
      </c>
      <c r="AM18" s="57">
        <v>0</v>
      </c>
      <c r="AN18" s="57">
        <f>IF(AG18&gt;'Test de compensation'!$D$142,0,AN17)</f>
        <v>435</v>
      </c>
      <c r="AO18" s="203" t="s">
        <v>107</v>
      </c>
      <c r="AP18" s="136" t="s">
        <v>107</v>
      </c>
      <c r="AQ18" s="276">
        <v>0</v>
      </c>
      <c r="AR18" s="203">
        <v>0</v>
      </c>
      <c r="AS18" s="203">
        <f t="shared" si="26"/>
        <v>10058.40155158023</v>
      </c>
      <c r="AT18" s="135">
        <f t="shared" si="12"/>
        <v>10058.40155158023</v>
      </c>
      <c r="AU18" s="135">
        <f t="shared" si="27"/>
        <v>3629.760494070539</v>
      </c>
      <c r="AV18" s="283" t="s">
        <v>107</v>
      </c>
      <c r="AW18" s="142" t="s">
        <v>107</v>
      </c>
      <c r="AX18" s="43" t="s">
        <v>107</v>
      </c>
    </row>
    <row r="19" spans="1:50" ht="12.75">
      <c r="A19" s="44">
        <v>11</v>
      </c>
      <c r="B19" s="287">
        <f t="shared" si="0"/>
        <v>0.017</v>
      </c>
      <c r="C19" s="413">
        <f>IF(A19&gt;'Test de compensation'!$G$119,0,C18+(C18*B19))</f>
        <v>83249.01609173168</v>
      </c>
      <c r="D19" s="133">
        <v>0.03</v>
      </c>
      <c r="E19" s="417">
        <f t="shared" si="1"/>
        <v>-2497.4704827519504</v>
      </c>
      <c r="F19" s="43">
        <f t="shared" si="13"/>
        <v>0</v>
      </c>
      <c r="G19" s="136">
        <f t="shared" si="2"/>
        <v>80751.54560897974</v>
      </c>
      <c r="H19" s="384">
        <f t="shared" si="3"/>
        <v>11</v>
      </c>
      <c r="I19" s="133">
        <f t="shared" si="4"/>
        <v>0.031</v>
      </c>
      <c r="J19" s="43">
        <f>IF(H19&gt;'Test de compensation'!$G$119,0,'Calculs détaillés'!J18)</f>
        <v>48237.83801833731</v>
      </c>
      <c r="K19" s="47">
        <f t="shared" si="14"/>
        <v>28934.701759416672</v>
      </c>
      <c r="L19" s="43">
        <f t="shared" si="5"/>
        <v>19303.136258920636</v>
      </c>
      <c r="M19" s="370">
        <f t="shared" si="15"/>
        <v>914074.3398512945</v>
      </c>
      <c r="N19" s="451">
        <f t="shared" si="16"/>
        <v>11</v>
      </c>
      <c r="O19" s="320">
        <f t="shared" si="17"/>
        <v>0.031</v>
      </c>
      <c r="P19" s="43">
        <f>IF(N19&gt;'Test de compensation'!$G$120,0,'Calculs détaillés'!P18)</f>
        <v>11992.899018836059</v>
      </c>
      <c r="Q19" s="47">
        <f t="shared" si="18"/>
        <v>8456.367235040834</v>
      </c>
      <c r="R19" s="43">
        <f t="shared" si="6"/>
        <v>3536.5317837952243</v>
      </c>
      <c r="S19" s="370">
        <f t="shared" si="19"/>
        <v>269249.5080562317</v>
      </c>
      <c r="T19" s="451">
        <f t="shared" si="7"/>
        <v>11</v>
      </c>
      <c r="U19" s="320">
        <f t="shared" si="20"/>
        <v>0.01</v>
      </c>
      <c r="V19" s="43">
        <f>IF(T19&gt;'Test de compensation'!$G$121,0,'Calculs détaillés'!V18)</f>
        <v>8312.297233582698</v>
      </c>
      <c r="W19" s="43">
        <f t="shared" si="21"/>
        <v>787.2829844897094</v>
      </c>
      <c r="X19" s="43">
        <f t="shared" si="8"/>
        <v>7525.014249092988</v>
      </c>
      <c r="Y19" s="370">
        <f t="shared" si="22"/>
        <v>71203.28419987795</v>
      </c>
      <c r="Z19" s="451">
        <f t="shared" si="9"/>
        <v>11</v>
      </c>
      <c r="AA19" s="133">
        <f t="shared" si="10"/>
        <v>0.04</v>
      </c>
      <c r="AB19" s="43">
        <f>IF(Z19&gt;'Test de compensation'!$G$122,0,'Calculs détaillés'!AB18)</f>
        <v>0</v>
      </c>
      <c r="AC19" s="43">
        <f t="shared" si="23"/>
        <v>0</v>
      </c>
      <c r="AD19" s="43">
        <f t="shared" si="11"/>
        <v>0</v>
      </c>
      <c r="AE19" s="43">
        <f t="shared" si="24"/>
        <v>0</v>
      </c>
      <c r="AF19" s="136" t="s">
        <v>107</v>
      </c>
      <c r="AG19" s="467">
        <f t="shared" si="25"/>
        <v>11</v>
      </c>
      <c r="AH19" s="142">
        <v>0</v>
      </c>
      <c r="AI19" s="57">
        <f>IF(Z19&gt;'Test de compensation'!$D$142,0,AI18+(AI18*B18))</f>
        <v>0</v>
      </c>
      <c r="AJ19" s="57">
        <f>IF(AG19&gt;'Test de compensation'!$D$142,0,'Calculs détaillés'!AJ18+(AJ18*B18))</f>
        <v>22370.27553808253</v>
      </c>
      <c r="AK19" s="57">
        <f>IF(AG19&gt;'Test de compensation'!$D$142,0,'Calculs détaillés'!AK18+(AK18*B18))</f>
        <v>1473.5975156038494</v>
      </c>
      <c r="AL19" s="57">
        <f>IF(AG19&gt;'Test de compensation'!$D$142,0,'Calculs détaillés'!AL18+(AL18*B18))</f>
        <v>10229.394377957093</v>
      </c>
      <c r="AM19" s="57">
        <v>0</v>
      </c>
      <c r="AN19" s="57">
        <f>IF(AG19&gt;'Test de compensation'!$D$142,0,AN18)</f>
        <v>435</v>
      </c>
      <c r="AO19" s="203" t="s">
        <v>107</v>
      </c>
      <c r="AP19" s="136" t="s">
        <v>107</v>
      </c>
      <c r="AQ19" s="276">
        <v>0</v>
      </c>
      <c r="AR19" s="203">
        <v>0</v>
      </c>
      <c r="AS19" s="203">
        <f t="shared" si="26"/>
        <v>10229.394377957093</v>
      </c>
      <c r="AT19" s="135">
        <f t="shared" si="12"/>
        <v>10229.394377957093</v>
      </c>
      <c r="AU19" s="135">
        <f t="shared" si="27"/>
        <v>3629.760494070539</v>
      </c>
      <c r="AV19" s="283" t="s">
        <v>107</v>
      </c>
      <c r="AW19" s="142" t="s">
        <v>107</v>
      </c>
      <c r="AX19" s="43" t="s">
        <v>107</v>
      </c>
    </row>
    <row r="20" spans="1:50" ht="12.75">
      <c r="A20" s="44">
        <v>12</v>
      </c>
      <c r="B20" s="287">
        <f t="shared" si="0"/>
        <v>0.017</v>
      </c>
      <c r="C20" s="413">
        <f>IF(A20&gt;'Test de compensation'!$G$119,0,C19+(C19*B20))</f>
        <v>84664.24936529112</v>
      </c>
      <c r="D20" s="133">
        <v>0.03</v>
      </c>
      <c r="E20" s="417">
        <f t="shared" si="1"/>
        <v>-2539.9274809587337</v>
      </c>
      <c r="F20" s="43">
        <f t="shared" si="13"/>
        <v>0</v>
      </c>
      <c r="G20" s="136">
        <f t="shared" si="2"/>
        <v>82124.32188433238</v>
      </c>
      <c r="H20" s="384">
        <f t="shared" si="3"/>
        <v>12</v>
      </c>
      <c r="I20" s="133">
        <f t="shared" si="4"/>
        <v>0.031</v>
      </c>
      <c r="J20" s="43">
        <f>IF(H20&gt;'Test de compensation'!$G$119,0,'Calculs détaillés'!J19)</f>
        <v>48237.83801833731</v>
      </c>
      <c r="K20" s="47">
        <f t="shared" si="14"/>
        <v>28336.30453539013</v>
      </c>
      <c r="L20" s="43">
        <f t="shared" si="5"/>
        <v>19901.53348294718</v>
      </c>
      <c r="M20" s="370">
        <f t="shared" si="15"/>
        <v>894172.8063683474</v>
      </c>
      <c r="N20" s="451">
        <f t="shared" si="16"/>
        <v>12</v>
      </c>
      <c r="O20" s="320">
        <f t="shared" si="17"/>
        <v>0.031</v>
      </c>
      <c r="P20" s="43">
        <f>IF(N20&gt;'Test de compensation'!$G$120,0,'Calculs détaillés'!P19)</f>
        <v>11992.899018836059</v>
      </c>
      <c r="Q20" s="47">
        <f t="shared" si="18"/>
        <v>8346.734749743184</v>
      </c>
      <c r="R20" s="43">
        <f t="shared" si="6"/>
        <v>3646.1642690928747</v>
      </c>
      <c r="S20" s="370">
        <f t="shared" si="19"/>
        <v>265603.3437871388</v>
      </c>
      <c r="T20" s="451">
        <f t="shared" si="7"/>
        <v>12</v>
      </c>
      <c r="U20" s="320">
        <f t="shared" si="20"/>
        <v>0.01</v>
      </c>
      <c r="V20" s="43">
        <f>IF(T20&gt;'Test de compensation'!$G$121,0,'Calculs détaillés'!V19)</f>
        <v>8312.297233582698</v>
      </c>
      <c r="W20" s="43">
        <f t="shared" si="21"/>
        <v>712.0328419987795</v>
      </c>
      <c r="X20" s="43">
        <f t="shared" si="8"/>
        <v>7600.264391583918</v>
      </c>
      <c r="Y20" s="370">
        <f t="shared" si="22"/>
        <v>63603.01980829403</v>
      </c>
      <c r="Z20" s="451">
        <f t="shared" si="9"/>
        <v>12</v>
      </c>
      <c r="AA20" s="133">
        <f t="shared" si="10"/>
        <v>0.04</v>
      </c>
      <c r="AB20" s="43">
        <f>IF(Z20&gt;'Test de compensation'!$G$122,0,'Calculs détaillés'!AB19)</f>
        <v>0</v>
      </c>
      <c r="AC20" s="43">
        <f t="shared" si="23"/>
        <v>0</v>
      </c>
      <c r="AD20" s="43">
        <f t="shared" si="11"/>
        <v>0</v>
      </c>
      <c r="AE20" s="43">
        <f t="shared" si="24"/>
        <v>0</v>
      </c>
      <c r="AF20" s="136" t="s">
        <v>107</v>
      </c>
      <c r="AG20" s="467">
        <f t="shared" si="25"/>
        <v>12</v>
      </c>
      <c r="AH20" s="142">
        <v>0</v>
      </c>
      <c r="AI20" s="57">
        <f>IF(Z20&gt;'Test de compensation'!$D$142,0,AI19+(AI19*B19))</f>
        <v>0</v>
      </c>
      <c r="AJ20" s="57">
        <f>IF(AG20&gt;'Test de compensation'!$D$142,0,'Calculs détaillés'!AJ19+(AJ19*B19))</f>
        <v>22750.570222229933</v>
      </c>
      <c r="AK20" s="57">
        <f>IF(AG20&gt;'Test de compensation'!$D$142,0,'Calculs détaillés'!AK19+(AK19*B19))</f>
        <v>1498.648673369115</v>
      </c>
      <c r="AL20" s="57">
        <f>IF(AG20&gt;'Test de compensation'!$D$142,0,'Calculs détaillés'!AL19+(AL19*B19))</f>
        <v>10403.294082382363</v>
      </c>
      <c r="AM20" s="57">
        <v>0</v>
      </c>
      <c r="AN20" s="57">
        <f>IF(AG20&gt;'Test de compensation'!$D$142,0,AN19)</f>
        <v>435</v>
      </c>
      <c r="AO20" s="203" t="s">
        <v>107</v>
      </c>
      <c r="AP20" s="136" t="s">
        <v>107</v>
      </c>
      <c r="AQ20" s="276">
        <v>0</v>
      </c>
      <c r="AR20" s="203">
        <v>0</v>
      </c>
      <c r="AS20" s="203">
        <f t="shared" si="26"/>
        <v>10403.294082382363</v>
      </c>
      <c r="AT20" s="135">
        <f t="shared" si="12"/>
        <v>10403.294082382363</v>
      </c>
      <c r="AU20" s="135">
        <f t="shared" si="27"/>
        <v>3629.760494070539</v>
      </c>
      <c r="AV20" s="283" t="s">
        <v>107</v>
      </c>
      <c r="AW20" s="142" t="s">
        <v>107</v>
      </c>
      <c r="AX20" s="43" t="s">
        <v>107</v>
      </c>
    </row>
    <row r="21" spans="1:50" ht="12.75">
      <c r="A21" s="44">
        <v>13</v>
      </c>
      <c r="B21" s="287">
        <f t="shared" si="0"/>
        <v>0.017</v>
      </c>
      <c r="C21" s="413">
        <f>IF(A21&gt;'Test de compensation'!$G$119,0,C20+(C20*B21))</f>
        <v>86103.54160450106</v>
      </c>
      <c r="D21" s="133">
        <v>0.03</v>
      </c>
      <c r="E21" s="417">
        <f t="shared" si="1"/>
        <v>-2583.106248135032</v>
      </c>
      <c r="F21" s="43">
        <f t="shared" si="13"/>
        <v>0</v>
      </c>
      <c r="G21" s="136">
        <f t="shared" si="2"/>
        <v>83520.43535636603</v>
      </c>
      <c r="H21" s="384">
        <f t="shared" si="3"/>
        <v>13</v>
      </c>
      <c r="I21" s="133">
        <f t="shared" si="4"/>
        <v>0.031</v>
      </c>
      <c r="J21" s="43">
        <f>IF(H21&gt;'Test de compensation'!$G$119,0,'Calculs détaillés'!J20)</f>
        <v>48237.83801833731</v>
      </c>
      <c r="K21" s="47">
        <f t="shared" si="14"/>
        <v>27719.356997418767</v>
      </c>
      <c r="L21" s="43">
        <f t="shared" si="5"/>
        <v>20518.48102091854</v>
      </c>
      <c r="M21" s="370">
        <f t="shared" si="15"/>
        <v>873654.3253474288</v>
      </c>
      <c r="N21" s="451">
        <f t="shared" si="16"/>
        <v>13</v>
      </c>
      <c r="O21" s="320">
        <f t="shared" si="17"/>
        <v>0.031</v>
      </c>
      <c r="P21" s="43">
        <f>IF(N21&gt;'Test de compensation'!$G$120,0,'Calculs détaillés'!P20)</f>
        <v>11992.899018836059</v>
      </c>
      <c r="Q21" s="47">
        <f t="shared" si="18"/>
        <v>8233.703657401304</v>
      </c>
      <c r="R21" s="43">
        <f t="shared" si="6"/>
        <v>3759.195361434755</v>
      </c>
      <c r="S21" s="370">
        <f t="shared" si="19"/>
        <v>261844.14842570407</v>
      </c>
      <c r="T21" s="451">
        <f t="shared" si="7"/>
        <v>13</v>
      </c>
      <c r="U21" s="320">
        <f t="shared" si="20"/>
        <v>0.01</v>
      </c>
      <c r="V21" s="43">
        <f>IF(T21&gt;'Test de compensation'!$G$121,0,'Calculs détaillés'!V20)</f>
        <v>8312.297233582698</v>
      </c>
      <c r="W21" s="43">
        <f t="shared" si="21"/>
        <v>636.0301980829404</v>
      </c>
      <c r="X21" s="43">
        <f t="shared" si="8"/>
        <v>7676.267035499757</v>
      </c>
      <c r="Y21" s="370">
        <f t="shared" si="22"/>
        <v>55926.75277279428</v>
      </c>
      <c r="Z21" s="451">
        <f t="shared" si="9"/>
        <v>13</v>
      </c>
      <c r="AA21" s="133">
        <f t="shared" si="10"/>
        <v>0.04</v>
      </c>
      <c r="AB21" s="43">
        <f>IF(Z21&gt;'Test de compensation'!$G$122,0,'Calculs détaillés'!AB20)</f>
        <v>0</v>
      </c>
      <c r="AC21" s="43">
        <f t="shared" si="23"/>
        <v>0</v>
      </c>
      <c r="AD21" s="43">
        <f t="shared" si="11"/>
        <v>0</v>
      </c>
      <c r="AE21" s="43">
        <f t="shared" si="24"/>
        <v>0</v>
      </c>
      <c r="AF21" s="136" t="s">
        <v>107</v>
      </c>
      <c r="AG21" s="467">
        <f t="shared" si="25"/>
        <v>13</v>
      </c>
      <c r="AH21" s="142">
        <v>0</v>
      </c>
      <c r="AI21" s="57">
        <f>IF(Z21&gt;'Test de compensation'!$D$142,0,AI20+(AI20*B20))</f>
        <v>0</v>
      </c>
      <c r="AJ21" s="57">
        <f>IF(AG21&gt;'Test de compensation'!$D$142,0,'Calculs détaillés'!AJ20+(AJ20*B20))</f>
        <v>23137.329916007842</v>
      </c>
      <c r="AK21" s="57">
        <f>IF(AG21&gt;'Test de compensation'!$D$142,0,'Calculs détaillés'!AK20+(AK20*B20))</f>
        <v>1524.1257008163898</v>
      </c>
      <c r="AL21" s="57">
        <f>IF(AG21&gt;'Test de compensation'!$D$142,0,'Calculs détaillés'!AL20+(AL20*B20))</f>
        <v>10580.150081782864</v>
      </c>
      <c r="AM21" s="57">
        <v>0</v>
      </c>
      <c r="AN21" s="57">
        <f>IF(AG21&gt;'Test de compensation'!$D$142,0,AN20)</f>
        <v>435</v>
      </c>
      <c r="AO21" s="203" t="s">
        <v>107</v>
      </c>
      <c r="AP21" s="136" t="s">
        <v>107</v>
      </c>
      <c r="AQ21" s="276">
        <v>0</v>
      </c>
      <c r="AR21" s="203">
        <v>0</v>
      </c>
      <c r="AS21" s="203">
        <f t="shared" si="26"/>
        <v>10580.150081782864</v>
      </c>
      <c r="AT21" s="135">
        <f t="shared" si="12"/>
        <v>10580.150081782864</v>
      </c>
      <c r="AU21" s="135">
        <f t="shared" si="27"/>
        <v>3629.760494070539</v>
      </c>
      <c r="AV21" s="283" t="s">
        <v>97</v>
      </c>
      <c r="AW21" s="142" t="s">
        <v>107</v>
      </c>
      <c r="AX21" s="43" t="s">
        <v>107</v>
      </c>
    </row>
    <row r="22" spans="1:50" ht="12.75">
      <c r="A22" s="44">
        <v>14</v>
      </c>
      <c r="B22" s="287">
        <f t="shared" si="0"/>
        <v>0.017</v>
      </c>
      <c r="C22" s="413">
        <f>IF(A22&gt;'Test de compensation'!$G$119,0,C21+(C21*B22))</f>
        <v>87567.30181177758</v>
      </c>
      <c r="D22" s="133">
        <v>0.03</v>
      </c>
      <c r="E22" s="417">
        <f t="shared" si="1"/>
        <v>-2627.019054353327</v>
      </c>
      <c r="F22" s="43">
        <f t="shared" si="13"/>
        <v>0</v>
      </c>
      <c r="G22" s="136">
        <f t="shared" si="2"/>
        <v>84940.28275742425</v>
      </c>
      <c r="H22" s="384">
        <f t="shared" si="3"/>
        <v>14</v>
      </c>
      <c r="I22" s="133">
        <f t="shared" si="4"/>
        <v>0.031</v>
      </c>
      <c r="J22" s="43">
        <f>IF(H22&gt;'Test de compensation'!$G$119,0,'Calculs détaillés'!J21)</f>
        <v>48237.83801833731</v>
      </c>
      <c r="K22" s="47">
        <f t="shared" si="14"/>
        <v>27083.284085770294</v>
      </c>
      <c r="L22" s="43">
        <f t="shared" si="5"/>
        <v>21154.553932567014</v>
      </c>
      <c r="M22" s="370">
        <f t="shared" si="15"/>
        <v>852499.7714148618</v>
      </c>
      <c r="N22" s="451">
        <f t="shared" si="16"/>
        <v>14</v>
      </c>
      <c r="O22" s="320">
        <f t="shared" si="17"/>
        <v>0.031</v>
      </c>
      <c r="P22" s="43">
        <f>IF(N22&gt;'Test de compensation'!$G$120,0,'Calculs détaillés'!P21)</f>
        <v>11992.899018836059</v>
      </c>
      <c r="Q22" s="47">
        <f t="shared" si="18"/>
        <v>8117.168601196826</v>
      </c>
      <c r="R22" s="43">
        <f t="shared" si="6"/>
        <v>3875.7304176392327</v>
      </c>
      <c r="S22" s="370">
        <f t="shared" si="19"/>
        <v>257968.41800806485</v>
      </c>
      <c r="T22" s="451">
        <f t="shared" si="7"/>
        <v>14</v>
      </c>
      <c r="U22" s="320">
        <f t="shared" si="20"/>
        <v>0.01</v>
      </c>
      <c r="V22" s="43">
        <f>IF(T22&gt;'Test de compensation'!$G$121,0,'Calculs détaillés'!V21)</f>
        <v>8312.297233582698</v>
      </c>
      <c r="W22" s="43">
        <f t="shared" si="21"/>
        <v>559.2675277279428</v>
      </c>
      <c r="X22" s="43">
        <f t="shared" si="8"/>
        <v>7753.029705854755</v>
      </c>
      <c r="Y22" s="370">
        <f t="shared" si="22"/>
        <v>48173.72306693952</v>
      </c>
      <c r="Z22" s="451">
        <f t="shared" si="9"/>
        <v>14</v>
      </c>
      <c r="AA22" s="133">
        <f t="shared" si="10"/>
        <v>0.04</v>
      </c>
      <c r="AB22" s="43">
        <f>IF(Z22&gt;'Test de compensation'!$G$122,0,'Calculs détaillés'!AB21)</f>
        <v>0</v>
      </c>
      <c r="AC22" s="43">
        <f t="shared" si="23"/>
        <v>0</v>
      </c>
      <c r="AD22" s="43">
        <f t="shared" si="11"/>
        <v>0</v>
      </c>
      <c r="AE22" s="43">
        <f t="shared" si="24"/>
        <v>0</v>
      </c>
      <c r="AF22" s="136" t="s">
        <v>107</v>
      </c>
      <c r="AG22" s="467">
        <f t="shared" si="25"/>
        <v>14</v>
      </c>
      <c r="AH22" s="142">
        <v>0</v>
      </c>
      <c r="AI22" s="57">
        <f>IF(Z22&gt;'Test de compensation'!$D$142,0,AI21+(AI21*B21))</f>
        <v>0</v>
      </c>
      <c r="AJ22" s="57">
        <f>IF(AG22&gt;'Test de compensation'!$D$142,0,'Calculs détaillés'!AJ21+(AJ21*B21))</f>
        <v>23530.664524579977</v>
      </c>
      <c r="AK22" s="57">
        <f>IF(AG22&gt;'Test de compensation'!$D$142,0,'Calculs détaillés'!AK21+(AK21*B21))</f>
        <v>1550.0358377302684</v>
      </c>
      <c r="AL22" s="57">
        <f>IF(AG22&gt;'Test de compensation'!$D$142,0,'Calculs détaillés'!AL21+(AL21*B21))</f>
        <v>10760.012633173172</v>
      </c>
      <c r="AM22" s="57">
        <v>0</v>
      </c>
      <c r="AN22" s="57">
        <f>IF(AG22&gt;'Test de compensation'!$D$142,0,AN21)</f>
        <v>435</v>
      </c>
      <c r="AO22" s="203" t="s">
        <v>107</v>
      </c>
      <c r="AP22" s="136" t="s">
        <v>107</v>
      </c>
      <c r="AQ22" s="276">
        <v>0</v>
      </c>
      <c r="AR22" s="203">
        <v>0</v>
      </c>
      <c r="AS22" s="203">
        <f t="shared" si="26"/>
        <v>10760.012633173172</v>
      </c>
      <c r="AT22" s="135">
        <f t="shared" si="12"/>
        <v>10760.012633173172</v>
      </c>
      <c r="AU22" s="135">
        <f t="shared" si="27"/>
        <v>3629.760494070539</v>
      </c>
      <c r="AV22" s="283" t="s">
        <v>107</v>
      </c>
      <c r="AW22" s="142" t="s">
        <v>107</v>
      </c>
      <c r="AX22" s="43" t="s">
        <v>107</v>
      </c>
    </row>
    <row r="23" spans="1:50" ht="12.75">
      <c r="A23" s="44">
        <v>15</v>
      </c>
      <c r="B23" s="287">
        <f t="shared" si="0"/>
        <v>0.017</v>
      </c>
      <c r="C23" s="413">
        <f>IF(A23&gt;'Test de compensation'!$G$119,0,C22+(C22*B23))</f>
        <v>89055.9459425778</v>
      </c>
      <c r="D23" s="133">
        <v>0.03</v>
      </c>
      <c r="E23" s="417">
        <f t="shared" si="1"/>
        <v>-2671.678378277334</v>
      </c>
      <c r="F23" s="43">
        <f t="shared" si="13"/>
        <v>0</v>
      </c>
      <c r="G23" s="136">
        <f t="shared" si="2"/>
        <v>86384.26756430048</v>
      </c>
      <c r="H23" s="384">
        <f t="shared" si="3"/>
        <v>15</v>
      </c>
      <c r="I23" s="133">
        <f t="shared" si="4"/>
        <v>0.031</v>
      </c>
      <c r="J23" s="43">
        <f>IF(H23&gt;'Test de compensation'!$G$119,0,'Calculs détaillés'!J22)</f>
        <v>48237.83801833731</v>
      </c>
      <c r="K23" s="47">
        <f t="shared" si="14"/>
        <v>26427.492913860715</v>
      </c>
      <c r="L23" s="43">
        <f t="shared" si="5"/>
        <v>21810.345104476593</v>
      </c>
      <c r="M23" s="370">
        <f t="shared" si="15"/>
        <v>830689.4263103852</v>
      </c>
      <c r="N23" s="451">
        <f t="shared" si="16"/>
        <v>15</v>
      </c>
      <c r="O23" s="320">
        <f t="shared" si="17"/>
        <v>0.031</v>
      </c>
      <c r="P23" s="43">
        <f>IF(N23&gt;'Test de compensation'!$G$120,0,'Calculs détaillés'!P22)</f>
        <v>11992.899018836059</v>
      </c>
      <c r="Q23" s="47">
        <f t="shared" si="18"/>
        <v>7997.02095825001</v>
      </c>
      <c r="R23" s="43">
        <f t="shared" si="6"/>
        <v>3995.8780605860484</v>
      </c>
      <c r="S23" s="370">
        <f t="shared" si="19"/>
        <v>253972.5399474788</v>
      </c>
      <c r="T23" s="451">
        <f t="shared" si="7"/>
        <v>15</v>
      </c>
      <c r="U23" s="320">
        <f t="shared" si="20"/>
        <v>0.01</v>
      </c>
      <c r="V23" s="43">
        <f>IF(T23&gt;'Test de compensation'!$G$121,0,'Calculs détaillés'!V22)</f>
        <v>8312.297233582698</v>
      </c>
      <c r="W23" s="43">
        <f t="shared" si="21"/>
        <v>481.7372306693952</v>
      </c>
      <c r="X23" s="43">
        <f t="shared" si="8"/>
        <v>7830.560002913303</v>
      </c>
      <c r="Y23" s="370">
        <f t="shared" si="22"/>
        <v>40343.163064026216</v>
      </c>
      <c r="Z23" s="451">
        <f t="shared" si="9"/>
        <v>15</v>
      </c>
      <c r="AA23" s="320">
        <f t="shared" si="10"/>
        <v>0.04</v>
      </c>
      <c r="AB23" s="43">
        <f>IF(Z23&gt;'Test de compensation'!$G$122,0,'Calculs détaillés'!AB22)</f>
        <v>0</v>
      </c>
      <c r="AC23" s="43">
        <f t="shared" si="23"/>
        <v>0</v>
      </c>
      <c r="AD23" s="43">
        <f t="shared" si="11"/>
        <v>0</v>
      </c>
      <c r="AE23" s="43">
        <f t="shared" si="24"/>
        <v>0</v>
      </c>
      <c r="AF23" s="136" t="s">
        <v>107</v>
      </c>
      <c r="AG23" s="467">
        <f t="shared" si="25"/>
        <v>15</v>
      </c>
      <c r="AH23" s="142">
        <v>0</v>
      </c>
      <c r="AI23" s="57">
        <f>IF(Z23&gt;'Test de compensation'!$D$142,0,AI22+(AI22*B22))</f>
        <v>0</v>
      </c>
      <c r="AJ23" s="57">
        <f>IF(AG23&gt;'Test de compensation'!$D$142,0,'Calculs détaillés'!AJ22+(AJ22*B22))</f>
        <v>23930.68582149784</v>
      </c>
      <c r="AK23" s="57">
        <f>IF(AG23&gt;'Test de compensation'!$D$142,0,'Calculs détaillés'!AK22+(AK22*B22))</f>
        <v>1576.386446971683</v>
      </c>
      <c r="AL23" s="57">
        <f>IF(AG23&gt;'Test de compensation'!$D$142,0,'Calculs détaillés'!AL22+(AL22*B22))</f>
        <v>10942.932847937116</v>
      </c>
      <c r="AM23" s="57">
        <v>0</v>
      </c>
      <c r="AN23" s="57">
        <f>IF(AG23&gt;'Test de compensation'!$D$142,0,AN22)</f>
        <v>435</v>
      </c>
      <c r="AO23" s="203" t="s">
        <v>107</v>
      </c>
      <c r="AP23" s="136" t="s">
        <v>107</v>
      </c>
      <c r="AQ23" s="276">
        <v>0</v>
      </c>
      <c r="AR23" s="203">
        <v>0</v>
      </c>
      <c r="AS23" s="203">
        <f t="shared" si="26"/>
        <v>10942.932847937116</v>
      </c>
      <c r="AT23" s="135">
        <f t="shared" si="12"/>
        <v>10942.932847937116</v>
      </c>
      <c r="AU23" s="135">
        <f t="shared" si="27"/>
        <v>3629.760494070539</v>
      </c>
      <c r="AV23" s="283" t="s">
        <v>107</v>
      </c>
      <c r="AW23" s="142" t="s">
        <v>107</v>
      </c>
      <c r="AX23" s="43" t="s">
        <v>107</v>
      </c>
    </row>
    <row r="24" spans="1:50" ht="12.75">
      <c r="A24" s="44">
        <v>16</v>
      </c>
      <c r="B24" s="287">
        <f t="shared" si="0"/>
        <v>0.017</v>
      </c>
      <c r="C24" s="413">
        <f>IF(A24&gt;'Test de compensation'!$G$119,0,C23+(C23*B24))</f>
        <v>90569.89702360163</v>
      </c>
      <c r="D24" s="133">
        <v>0.03</v>
      </c>
      <c r="E24" s="417">
        <f t="shared" si="1"/>
        <v>-2717.0969107080487</v>
      </c>
      <c r="F24" s="43">
        <f t="shared" si="13"/>
        <v>0</v>
      </c>
      <c r="G24" s="136">
        <f t="shared" si="2"/>
        <v>87852.80011289359</v>
      </c>
      <c r="H24" s="384">
        <f t="shared" si="3"/>
        <v>16</v>
      </c>
      <c r="I24" s="133">
        <f t="shared" si="4"/>
        <v>0.031</v>
      </c>
      <c r="J24" s="43">
        <f>IF(H24&gt;'Test de compensation'!$G$119,0,'Calculs détaillés'!J23)</f>
        <v>48237.83801833731</v>
      </c>
      <c r="K24" s="47">
        <f t="shared" si="14"/>
        <v>25751.37221562194</v>
      </c>
      <c r="L24" s="43">
        <f t="shared" si="5"/>
        <v>22486.465802715367</v>
      </c>
      <c r="M24" s="370">
        <f t="shared" si="15"/>
        <v>808202.9605076698</v>
      </c>
      <c r="N24" s="451">
        <f t="shared" si="16"/>
        <v>16</v>
      </c>
      <c r="O24" s="320">
        <f t="shared" si="17"/>
        <v>0.031</v>
      </c>
      <c r="P24" s="43">
        <f>IF(N24&gt;'Test de compensation'!$G$120,0,'Calculs détaillés'!P23)</f>
        <v>11992.899018836059</v>
      </c>
      <c r="Q24" s="47">
        <f t="shared" si="18"/>
        <v>7873.148738371843</v>
      </c>
      <c r="R24" s="43">
        <f t="shared" si="6"/>
        <v>4119.750280464215</v>
      </c>
      <c r="S24" s="370">
        <f t="shared" si="19"/>
        <v>249852.7896670146</v>
      </c>
      <c r="T24" s="451">
        <f t="shared" si="7"/>
        <v>16</v>
      </c>
      <c r="U24" s="320">
        <f t="shared" si="20"/>
        <v>0.01</v>
      </c>
      <c r="V24" s="43">
        <f>IF(T24&gt;'Test de compensation'!$G$121,0,'Calculs détaillés'!V23)</f>
        <v>8312.297233582698</v>
      </c>
      <c r="W24" s="43">
        <f t="shared" si="21"/>
        <v>403.43163064026214</v>
      </c>
      <c r="X24" s="43">
        <f t="shared" si="8"/>
        <v>7908.8656029424355</v>
      </c>
      <c r="Y24" s="370">
        <f t="shared" si="22"/>
        <v>32434.29746108378</v>
      </c>
      <c r="Z24" s="451">
        <f t="shared" si="9"/>
        <v>16</v>
      </c>
      <c r="AA24" s="320">
        <f aca="true" t="shared" si="28" ref="AA24:AA48">AA23</f>
        <v>0.04</v>
      </c>
      <c r="AB24" s="43">
        <f>IF(Z24&gt;'Test de compensation'!$G$122,0,'Calculs détaillés'!AB23)</f>
        <v>0</v>
      </c>
      <c r="AC24" s="43">
        <f t="shared" si="23"/>
        <v>0</v>
      </c>
      <c r="AD24" s="43">
        <f t="shared" si="11"/>
        <v>0</v>
      </c>
      <c r="AE24" s="43">
        <f t="shared" si="24"/>
        <v>0</v>
      </c>
      <c r="AF24" s="136" t="s">
        <v>107</v>
      </c>
      <c r="AG24" s="467">
        <f t="shared" si="25"/>
        <v>16</v>
      </c>
      <c r="AH24" s="142">
        <v>0</v>
      </c>
      <c r="AI24" s="57">
        <f>IF(Z24&gt;'Test de compensation'!$D$142,0,AI23+(AI23*B23))</f>
        <v>0</v>
      </c>
      <c r="AJ24" s="57">
        <f>IF(AG24&gt;'Test de compensation'!$D$142,0,'Calculs détaillés'!AJ23+(AJ23*B23))</f>
        <v>24337.5074804633</v>
      </c>
      <c r="AK24" s="57">
        <f>IF(AG24&gt;'Test de compensation'!$D$142,0,'Calculs détaillés'!AK23+(AK23*B23))</f>
        <v>1603.1850165702017</v>
      </c>
      <c r="AL24" s="57">
        <f>IF(AG24&gt;'Test de compensation'!$D$142,0,'Calculs détaillés'!AL23+(AL23*B23))</f>
        <v>11128.962706352047</v>
      </c>
      <c r="AM24" s="57">
        <v>0</v>
      </c>
      <c r="AN24" s="57">
        <f>IF(AG24&gt;'Test de compensation'!$D$142,0,AN23)</f>
        <v>435</v>
      </c>
      <c r="AO24" s="203" t="s">
        <v>107</v>
      </c>
      <c r="AP24" s="136" t="s">
        <v>107</v>
      </c>
      <c r="AQ24" s="276">
        <v>0</v>
      </c>
      <c r="AR24" s="203">
        <v>0</v>
      </c>
      <c r="AS24" s="203">
        <f t="shared" si="26"/>
        <v>11128.962706352047</v>
      </c>
      <c r="AT24" s="135">
        <f t="shared" si="12"/>
        <v>11128.962706352047</v>
      </c>
      <c r="AU24" s="135">
        <f t="shared" si="27"/>
        <v>3629.760494070539</v>
      </c>
      <c r="AV24" s="283" t="s">
        <v>107</v>
      </c>
      <c r="AW24" s="142" t="s">
        <v>107</v>
      </c>
      <c r="AX24" s="43" t="s">
        <v>107</v>
      </c>
    </row>
    <row r="25" spans="1:50" ht="12.75">
      <c r="A25" s="44">
        <v>17</v>
      </c>
      <c r="B25" s="287">
        <f t="shared" si="0"/>
        <v>0.017</v>
      </c>
      <c r="C25" s="413">
        <f>IF(A25&gt;'Test de compensation'!$G$119,0,C24+(C24*B25))</f>
        <v>92109.58527300286</v>
      </c>
      <c r="D25" s="133">
        <v>0.03</v>
      </c>
      <c r="E25" s="417">
        <f t="shared" si="1"/>
        <v>-2763.2875581900857</v>
      </c>
      <c r="F25" s="43">
        <f t="shared" si="13"/>
        <v>0</v>
      </c>
      <c r="G25" s="136">
        <f t="shared" si="2"/>
        <v>89346.29771481277</v>
      </c>
      <c r="H25" s="384">
        <f t="shared" si="3"/>
        <v>17</v>
      </c>
      <c r="I25" s="133">
        <f t="shared" si="4"/>
        <v>0.031</v>
      </c>
      <c r="J25" s="43">
        <f>IF(H25&gt;'Test de compensation'!$G$119,0,'Calculs détaillés'!J24)</f>
        <v>48237.83801833731</v>
      </c>
      <c r="K25" s="47">
        <f t="shared" si="14"/>
        <v>25054.291775737765</v>
      </c>
      <c r="L25" s="43">
        <f t="shared" si="5"/>
        <v>23183.546242599543</v>
      </c>
      <c r="M25" s="370">
        <f t="shared" si="15"/>
        <v>785019.4142650703</v>
      </c>
      <c r="N25" s="451">
        <f t="shared" si="16"/>
        <v>17</v>
      </c>
      <c r="O25" s="320">
        <f t="shared" si="17"/>
        <v>0.031</v>
      </c>
      <c r="P25" s="43">
        <f>IF(N25&gt;'Test de compensation'!$G$120,0,'Calculs détaillés'!P24)</f>
        <v>11992.899018836059</v>
      </c>
      <c r="Q25" s="47">
        <f t="shared" si="18"/>
        <v>7745.436479677452</v>
      </c>
      <c r="R25" s="43">
        <f t="shared" si="6"/>
        <v>4247.462539158607</v>
      </c>
      <c r="S25" s="370">
        <f t="shared" si="19"/>
        <v>245605.32712785597</v>
      </c>
      <c r="T25" s="451">
        <f t="shared" si="7"/>
        <v>17</v>
      </c>
      <c r="U25" s="320">
        <f t="shared" si="20"/>
        <v>0.01</v>
      </c>
      <c r="V25" s="43">
        <f>IF(T25&gt;'Test de compensation'!$G$121,0,'Calculs détaillés'!V24)</f>
        <v>8312.297233582698</v>
      </c>
      <c r="W25" s="43">
        <f t="shared" si="21"/>
        <v>324.3429746108378</v>
      </c>
      <c r="X25" s="43">
        <f t="shared" si="8"/>
        <v>7987.95425897186</v>
      </c>
      <c r="Y25" s="370">
        <f t="shared" si="22"/>
        <v>24446.343202111922</v>
      </c>
      <c r="Z25" s="451">
        <f t="shared" si="9"/>
        <v>17</v>
      </c>
      <c r="AA25" s="133">
        <f t="shared" si="28"/>
        <v>0.04</v>
      </c>
      <c r="AB25" s="43">
        <f>IF(Z25&gt;'Test de compensation'!$G$122,0,'Calculs détaillés'!AB24)</f>
        <v>0</v>
      </c>
      <c r="AC25" s="43">
        <f t="shared" si="23"/>
        <v>0</v>
      </c>
      <c r="AD25" s="43">
        <f t="shared" si="11"/>
        <v>0</v>
      </c>
      <c r="AE25" s="43">
        <f t="shared" si="24"/>
        <v>0</v>
      </c>
      <c r="AF25" s="136" t="s">
        <v>107</v>
      </c>
      <c r="AG25" s="467">
        <f t="shared" si="25"/>
        <v>17</v>
      </c>
      <c r="AH25" s="142">
        <v>0</v>
      </c>
      <c r="AI25" s="57">
        <f>IF(Z25&gt;'Test de compensation'!$D$142,0,AI24+(AI24*B24))</f>
        <v>0</v>
      </c>
      <c r="AJ25" s="57">
        <f>IF(AG25&gt;'Test de compensation'!$D$142,0,'Calculs détaillés'!AJ24+(AJ24*B24))</f>
        <v>24751.245107631177</v>
      </c>
      <c r="AK25" s="57">
        <f>IF(AG25&gt;'Test de compensation'!$D$142,0,'Calculs détaillés'!AK24+(AK24*B24))</f>
        <v>1630.439161851895</v>
      </c>
      <c r="AL25" s="57">
        <f>IF(AG25&gt;'Test de compensation'!$D$142,0,'Calculs détaillés'!AL24+(AL24*B24))</f>
        <v>11318.155072360032</v>
      </c>
      <c r="AM25" s="57">
        <v>0</v>
      </c>
      <c r="AN25" s="57">
        <f>IF(AG25&gt;'Test de compensation'!$D$142,0,AN24)</f>
        <v>435</v>
      </c>
      <c r="AO25" s="203" t="s">
        <v>107</v>
      </c>
      <c r="AP25" s="136" t="s">
        <v>107</v>
      </c>
      <c r="AQ25" s="276">
        <v>0</v>
      </c>
      <c r="AR25" s="203">
        <v>0</v>
      </c>
      <c r="AS25" s="203">
        <f t="shared" si="26"/>
        <v>11318.155072360032</v>
      </c>
      <c r="AT25" s="135">
        <f t="shared" si="12"/>
        <v>11318.155072360032</v>
      </c>
      <c r="AU25" s="135">
        <f t="shared" si="27"/>
        <v>3629.760494070539</v>
      </c>
      <c r="AV25" s="283" t="s">
        <v>107</v>
      </c>
      <c r="AW25" s="142" t="s">
        <v>107</v>
      </c>
      <c r="AX25" s="43" t="s">
        <v>107</v>
      </c>
    </row>
    <row r="26" spans="1:50" ht="12.75">
      <c r="A26" s="44">
        <v>18</v>
      </c>
      <c r="B26" s="287">
        <f t="shared" si="0"/>
        <v>0.017</v>
      </c>
      <c r="C26" s="413">
        <f>IF(A26&gt;'Test de compensation'!$G$119,0,C25+(C25*B26))</f>
        <v>93675.4482226439</v>
      </c>
      <c r="D26" s="133">
        <v>0.03</v>
      </c>
      <c r="E26" s="417">
        <f t="shared" si="1"/>
        <v>-2810.263446679317</v>
      </c>
      <c r="F26" s="43">
        <f t="shared" si="13"/>
        <v>0</v>
      </c>
      <c r="G26" s="136">
        <f t="shared" si="2"/>
        <v>90865.18477596459</v>
      </c>
      <c r="H26" s="384">
        <f t="shared" si="3"/>
        <v>18</v>
      </c>
      <c r="I26" s="133">
        <f t="shared" si="4"/>
        <v>0.031</v>
      </c>
      <c r="J26" s="43">
        <f>IF(H26&gt;'Test de compensation'!$G$119,0,'Calculs détaillés'!J25)</f>
        <v>48237.83801833731</v>
      </c>
      <c r="K26" s="47">
        <f t="shared" si="14"/>
        <v>24335.60184221718</v>
      </c>
      <c r="L26" s="43">
        <f t="shared" si="5"/>
        <v>23902.23617612013</v>
      </c>
      <c r="M26" s="370">
        <f t="shared" si="15"/>
        <v>761117.1780889502</v>
      </c>
      <c r="N26" s="451">
        <f t="shared" si="16"/>
        <v>18</v>
      </c>
      <c r="O26" s="320">
        <f t="shared" si="17"/>
        <v>0.031</v>
      </c>
      <c r="P26" s="43">
        <f>IF(N26&gt;'Test de compensation'!$G$120,0,'Calculs détaillés'!P25)</f>
        <v>11992.899018836059</v>
      </c>
      <c r="Q26" s="47">
        <f t="shared" si="18"/>
        <v>7613.765140963535</v>
      </c>
      <c r="R26" s="43">
        <f t="shared" si="6"/>
        <v>4379.133877872524</v>
      </c>
      <c r="S26" s="370">
        <f t="shared" si="19"/>
        <v>241226.19324998345</v>
      </c>
      <c r="T26" s="451">
        <f t="shared" si="7"/>
        <v>18</v>
      </c>
      <c r="U26" s="320">
        <f t="shared" si="20"/>
        <v>0.01</v>
      </c>
      <c r="V26" s="43">
        <f>IF(T26&gt;'Test de compensation'!$G$121,0,'Calculs détaillés'!V25)</f>
        <v>8312.297233582698</v>
      </c>
      <c r="W26" s="43">
        <f t="shared" si="21"/>
        <v>244.46343202111922</v>
      </c>
      <c r="X26" s="43">
        <f t="shared" si="8"/>
        <v>8067.833801561579</v>
      </c>
      <c r="Y26" s="370">
        <f t="shared" si="22"/>
        <v>16378.509400550343</v>
      </c>
      <c r="Z26" s="451">
        <f t="shared" si="9"/>
        <v>18</v>
      </c>
      <c r="AA26" s="133">
        <f t="shared" si="28"/>
        <v>0.04</v>
      </c>
      <c r="AB26" s="43">
        <f>IF(Z26&gt;'Test de compensation'!$G$122,0,'Calculs détaillés'!AB25)</f>
        <v>0</v>
      </c>
      <c r="AC26" s="43">
        <f t="shared" si="23"/>
        <v>0</v>
      </c>
      <c r="AD26" s="43">
        <f t="shared" si="11"/>
        <v>0</v>
      </c>
      <c r="AE26" s="43">
        <f t="shared" si="24"/>
        <v>0</v>
      </c>
      <c r="AF26" s="136" t="s">
        <v>107</v>
      </c>
      <c r="AG26" s="467">
        <f t="shared" si="25"/>
        <v>18</v>
      </c>
      <c r="AH26" s="142">
        <v>0</v>
      </c>
      <c r="AI26" s="57">
        <f>IF(Z26&gt;'Test de compensation'!$D$142,0,AI25+(AI25*B25))</f>
        <v>0</v>
      </c>
      <c r="AJ26" s="57">
        <f>IF(AG26&gt;'Test de compensation'!$D$142,0,'Calculs détaillés'!AJ25+(AJ25*B25))</f>
        <v>25172.016274460908</v>
      </c>
      <c r="AK26" s="57">
        <f>IF(AG26&gt;'Test de compensation'!$D$142,0,'Calculs détaillés'!AK25+(AK25*B25))</f>
        <v>1658.1566276033773</v>
      </c>
      <c r="AL26" s="57">
        <f>IF(AG26&gt;'Test de compensation'!$D$142,0,'Calculs détaillés'!AL25+(AL25*B25))</f>
        <v>11510.563708590153</v>
      </c>
      <c r="AM26" s="57">
        <v>0</v>
      </c>
      <c r="AN26" s="57">
        <f>IF(AG26&gt;'Test de compensation'!$D$142,0,AN25)</f>
        <v>435</v>
      </c>
      <c r="AO26" s="203" t="s">
        <v>107</v>
      </c>
      <c r="AP26" s="136" t="s">
        <v>107</v>
      </c>
      <c r="AQ26" s="276">
        <v>0</v>
      </c>
      <c r="AR26" s="203">
        <v>0</v>
      </c>
      <c r="AS26" s="203">
        <f t="shared" si="26"/>
        <v>11510.563708590153</v>
      </c>
      <c r="AT26" s="135">
        <f t="shared" si="12"/>
        <v>11510.563708590153</v>
      </c>
      <c r="AU26" s="135">
        <f t="shared" si="27"/>
        <v>3629.760494070539</v>
      </c>
      <c r="AV26" s="283" t="s">
        <v>107</v>
      </c>
      <c r="AW26" s="142" t="s">
        <v>107</v>
      </c>
      <c r="AX26" s="43" t="s">
        <v>107</v>
      </c>
    </row>
    <row r="27" spans="1:50" ht="12.75">
      <c r="A27" s="44">
        <v>19</v>
      </c>
      <c r="B27" s="287">
        <f t="shared" si="0"/>
        <v>0.017</v>
      </c>
      <c r="C27" s="413">
        <f>IF(A27&gt;'Test de compensation'!$G$119,0,C26+(C26*B27))</f>
        <v>95267.93084242885</v>
      </c>
      <c r="D27" s="133">
        <v>0.03</v>
      </c>
      <c r="E27" s="417">
        <f t="shared" si="1"/>
        <v>-2858.0379252728653</v>
      </c>
      <c r="F27" s="43">
        <f t="shared" si="13"/>
        <v>0</v>
      </c>
      <c r="G27" s="136">
        <f t="shared" si="2"/>
        <v>92409.89291715599</v>
      </c>
      <c r="H27" s="384">
        <f t="shared" si="3"/>
        <v>19</v>
      </c>
      <c r="I27" s="133">
        <f t="shared" si="4"/>
        <v>0.031</v>
      </c>
      <c r="J27" s="43">
        <f>IF(H27&gt;'Test de compensation'!$G$119,0,'Calculs détaillés'!J26)</f>
        <v>48237.83801833731</v>
      </c>
      <c r="K27" s="47">
        <f t="shared" si="14"/>
        <v>23594.632520757455</v>
      </c>
      <c r="L27" s="43">
        <f t="shared" si="5"/>
        <v>24643.205497579853</v>
      </c>
      <c r="M27" s="370">
        <f t="shared" si="15"/>
        <v>736473.9725913703</v>
      </c>
      <c r="N27" s="451">
        <f t="shared" si="16"/>
        <v>19</v>
      </c>
      <c r="O27" s="320">
        <f t="shared" si="17"/>
        <v>0.031</v>
      </c>
      <c r="P27" s="43">
        <f>IF(N27&gt;'Test de compensation'!$G$120,0,'Calculs détaillés'!P26)</f>
        <v>11992.899018836059</v>
      </c>
      <c r="Q27" s="47">
        <f t="shared" si="18"/>
        <v>7478.011990749487</v>
      </c>
      <c r="R27" s="43">
        <f t="shared" si="6"/>
        <v>4514.887028086571</v>
      </c>
      <c r="S27" s="370">
        <f t="shared" si="19"/>
        <v>236711.30622189687</v>
      </c>
      <c r="T27" s="451">
        <f t="shared" si="7"/>
        <v>19</v>
      </c>
      <c r="U27" s="320">
        <f t="shared" si="20"/>
        <v>0.01</v>
      </c>
      <c r="V27" s="43">
        <f>IF(T27&gt;'Test de compensation'!$G$121,0,'Calculs détaillés'!V26)</f>
        <v>8312.297233582698</v>
      </c>
      <c r="W27" s="43">
        <f t="shared" si="21"/>
        <v>163.78509400550342</v>
      </c>
      <c r="X27" s="43">
        <f t="shared" si="8"/>
        <v>8148.512139577195</v>
      </c>
      <c r="Y27" s="370">
        <f t="shared" si="22"/>
        <v>8229.997260973149</v>
      </c>
      <c r="Z27" s="451">
        <f t="shared" si="9"/>
        <v>19</v>
      </c>
      <c r="AA27" s="133">
        <f t="shared" si="28"/>
        <v>0.04</v>
      </c>
      <c r="AB27" s="43">
        <f>IF(Z27&gt;'Test de compensation'!$G$122,0,'Calculs détaillés'!AB26)</f>
        <v>0</v>
      </c>
      <c r="AC27" s="43">
        <f t="shared" si="23"/>
        <v>0</v>
      </c>
      <c r="AD27" s="43">
        <f t="shared" si="11"/>
        <v>0</v>
      </c>
      <c r="AE27" s="43">
        <f t="shared" si="24"/>
        <v>0</v>
      </c>
      <c r="AF27" s="136" t="s">
        <v>107</v>
      </c>
      <c r="AG27" s="467">
        <f t="shared" si="25"/>
        <v>19</v>
      </c>
      <c r="AH27" s="142">
        <v>0</v>
      </c>
      <c r="AI27" s="57">
        <f>IF(Z27&gt;'Test de compensation'!$D$142,0,AI26+(AI26*B26))</f>
        <v>0</v>
      </c>
      <c r="AJ27" s="57">
        <f>IF(AG27&gt;'Test de compensation'!$D$142,0,'Calculs détaillés'!AJ26+(AJ26*B26))</f>
        <v>25599.940551126743</v>
      </c>
      <c r="AK27" s="57">
        <f>IF(AG27&gt;'Test de compensation'!$D$142,0,'Calculs détaillés'!AK26+(AK26*B26))</f>
        <v>1686.3452902726347</v>
      </c>
      <c r="AL27" s="57">
        <f>IF(AG27&gt;'Test de compensation'!$D$142,0,'Calculs détaillés'!AL26+(AL26*B26))</f>
        <v>11706.243291636185</v>
      </c>
      <c r="AM27" s="57">
        <v>0</v>
      </c>
      <c r="AN27" s="57">
        <f>IF(AG27&gt;'Test de compensation'!$D$142,0,AN26)</f>
        <v>435</v>
      </c>
      <c r="AO27" s="203" t="s">
        <v>107</v>
      </c>
      <c r="AP27" s="136" t="s">
        <v>107</v>
      </c>
      <c r="AQ27" s="276">
        <v>0</v>
      </c>
      <c r="AR27" s="203">
        <v>0</v>
      </c>
      <c r="AS27" s="203">
        <f t="shared" si="26"/>
        <v>11706.243291636185</v>
      </c>
      <c r="AT27" s="135">
        <f t="shared" si="12"/>
        <v>11706.243291636185</v>
      </c>
      <c r="AU27" s="135">
        <f t="shared" si="27"/>
        <v>3629.760494070539</v>
      </c>
      <c r="AV27" s="283" t="s">
        <v>107</v>
      </c>
      <c r="AW27" s="142" t="s">
        <v>107</v>
      </c>
      <c r="AX27" s="43" t="s">
        <v>107</v>
      </c>
    </row>
    <row r="28" spans="1:50" ht="12.75">
      <c r="A28" s="44">
        <v>20</v>
      </c>
      <c r="B28" s="287">
        <f t="shared" si="0"/>
        <v>0.017</v>
      </c>
      <c r="C28" s="413">
        <f>IF(A28&gt;'Test de compensation'!$G$119,0,C27+(C27*B28))</f>
        <v>96887.48566675013</v>
      </c>
      <c r="D28" s="133">
        <v>0.03</v>
      </c>
      <c r="E28" s="417">
        <f t="shared" si="1"/>
        <v>-2906.624570002504</v>
      </c>
      <c r="F28" s="43">
        <f t="shared" si="13"/>
        <v>0</v>
      </c>
      <c r="G28" s="136">
        <f t="shared" si="2"/>
        <v>93980.86109674763</v>
      </c>
      <c r="H28" s="384">
        <f t="shared" si="3"/>
        <v>20</v>
      </c>
      <c r="I28" s="133">
        <f t="shared" si="4"/>
        <v>0.031</v>
      </c>
      <c r="J28" s="43">
        <f>IF(H28&gt;'Test de compensation'!$G$119,0,'Calculs détaillés'!J27)</f>
        <v>48237.83801833731</v>
      </c>
      <c r="K28" s="47">
        <f t="shared" si="14"/>
        <v>22830.69315033248</v>
      </c>
      <c r="L28" s="43">
        <f t="shared" si="5"/>
        <v>25407.144868004827</v>
      </c>
      <c r="M28" s="370">
        <f t="shared" si="15"/>
        <v>711066.8277233655</v>
      </c>
      <c r="N28" s="451">
        <f t="shared" si="16"/>
        <v>20</v>
      </c>
      <c r="O28" s="320">
        <f t="shared" si="17"/>
        <v>0.031</v>
      </c>
      <c r="P28" s="43">
        <f>IF(N28&gt;'Test de compensation'!$G$120,0,'Calculs détaillés'!P27)</f>
        <v>11992.899018836059</v>
      </c>
      <c r="Q28" s="47">
        <f t="shared" si="18"/>
        <v>7338.050492878803</v>
      </c>
      <c r="R28" s="43">
        <f t="shared" si="6"/>
        <v>4654.848525957255</v>
      </c>
      <c r="S28" s="370">
        <f t="shared" si="19"/>
        <v>232056.4576959396</v>
      </c>
      <c r="T28" s="451">
        <f t="shared" si="7"/>
        <v>20</v>
      </c>
      <c r="U28" s="320">
        <f t="shared" si="20"/>
        <v>0.01</v>
      </c>
      <c r="V28" s="43">
        <f>IF(T28&gt;'Test de compensation'!$G$121,0,'Calculs détaillés'!V27)</f>
        <v>8312.297233582698</v>
      </c>
      <c r="W28" s="43">
        <f t="shared" si="21"/>
        <v>82.29997260973148</v>
      </c>
      <c r="X28" s="43">
        <f t="shared" si="8"/>
        <v>8229.997260972967</v>
      </c>
      <c r="Y28" s="370">
        <f t="shared" si="22"/>
        <v>1.8189894035458565E-10</v>
      </c>
      <c r="Z28" s="451">
        <f t="shared" si="9"/>
        <v>20</v>
      </c>
      <c r="AA28" s="133">
        <f t="shared" si="28"/>
        <v>0.04</v>
      </c>
      <c r="AB28" s="43">
        <f>IF(Z28&gt;'Test de compensation'!$G$122,0,'Calculs détaillés'!AB27)</f>
        <v>0</v>
      </c>
      <c r="AC28" s="43">
        <f t="shared" si="23"/>
        <v>0</v>
      </c>
      <c r="AD28" s="43">
        <f t="shared" si="11"/>
        <v>0</v>
      </c>
      <c r="AE28" s="43">
        <f t="shared" si="24"/>
        <v>0</v>
      </c>
      <c r="AF28" s="136" t="s">
        <v>107</v>
      </c>
      <c r="AG28" s="467">
        <f t="shared" si="25"/>
        <v>20</v>
      </c>
      <c r="AH28" s="142">
        <v>0</v>
      </c>
      <c r="AI28" s="57">
        <f>IF(Z28&gt;'Test de compensation'!$D$142,0,AI27+(AI27*B27))</f>
        <v>0</v>
      </c>
      <c r="AJ28" s="57">
        <f>IF(AG28&gt;'Test de compensation'!$D$142,0,'Calculs détaillés'!AJ27+(AJ27*B27))</f>
        <v>26035.139540495897</v>
      </c>
      <c r="AK28" s="57">
        <f>IF(AG28&gt;'Test de compensation'!$D$142,0,'Calculs détaillés'!AK27+(AK27*B27))</f>
        <v>1715.0131602072695</v>
      </c>
      <c r="AL28" s="57">
        <f>IF(AG28&gt;'Test de compensation'!$D$142,0,'Calculs détaillés'!AL27+(AL27*B27))</f>
        <v>11905.249427594</v>
      </c>
      <c r="AM28" s="57">
        <v>0</v>
      </c>
      <c r="AN28" s="57">
        <f>IF(AG28&gt;'Test de compensation'!$D$142,0,AN27)</f>
        <v>435</v>
      </c>
      <c r="AO28" s="203" t="s">
        <v>107</v>
      </c>
      <c r="AP28" s="136" t="s">
        <v>107</v>
      </c>
      <c r="AQ28" s="276">
        <v>0</v>
      </c>
      <c r="AR28" s="203">
        <v>0</v>
      </c>
      <c r="AS28" s="203">
        <f t="shared" si="26"/>
        <v>11905.249427594</v>
      </c>
      <c r="AT28" s="135">
        <f t="shared" si="12"/>
        <v>11905.249427594</v>
      </c>
      <c r="AU28" s="135">
        <f t="shared" si="27"/>
        <v>3629.760494070539</v>
      </c>
      <c r="AV28" s="283" t="s">
        <v>107</v>
      </c>
      <c r="AW28" s="142" t="s">
        <v>107</v>
      </c>
      <c r="AX28" s="43" t="s">
        <v>107</v>
      </c>
    </row>
    <row r="29" spans="1:50" ht="12.75">
      <c r="A29" s="44">
        <v>21</v>
      </c>
      <c r="B29" s="287">
        <f t="shared" si="0"/>
        <v>0.017</v>
      </c>
      <c r="C29" s="413">
        <f>IF(A29&gt;'Test de compensation'!$G$119,0,C28+(C28*B29))</f>
        <v>98534.57292308488</v>
      </c>
      <c r="D29" s="133">
        <v>0.03</v>
      </c>
      <c r="E29" s="417">
        <f t="shared" si="1"/>
        <v>-2956.0371876925465</v>
      </c>
      <c r="F29" s="43">
        <f t="shared" si="13"/>
        <v>0</v>
      </c>
      <c r="G29" s="136">
        <f t="shared" si="2"/>
        <v>95578.53573539233</v>
      </c>
      <c r="H29" s="384">
        <f t="shared" si="3"/>
        <v>21</v>
      </c>
      <c r="I29" s="133">
        <f t="shared" si="4"/>
        <v>0.031</v>
      </c>
      <c r="J29" s="43">
        <f>IF(H29&gt;'Test de compensation'!$G$119,0,'Calculs détaillés'!J28)</f>
        <v>48237.83801833731</v>
      </c>
      <c r="K29" s="47">
        <f t="shared" si="14"/>
        <v>22043.07165942433</v>
      </c>
      <c r="L29" s="43">
        <f t="shared" si="5"/>
        <v>26194.766358912977</v>
      </c>
      <c r="M29" s="370">
        <f t="shared" si="15"/>
        <v>684872.0613644526</v>
      </c>
      <c r="N29" s="451">
        <f t="shared" si="16"/>
        <v>21</v>
      </c>
      <c r="O29" s="320">
        <f t="shared" si="17"/>
        <v>0.031</v>
      </c>
      <c r="P29" s="43">
        <f>IF(N29&gt;'Test de compensation'!$G$120,0,'Calculs détaillés'!P28)</f>
        <v>11992.899018836059</v>
      </c>
      <c r="Q29" s="47">
        <f t="shared" si="18"/>
        <v>7193.750188574128</v>
      </c>
      <c r="R29" s="43">
        <f t="shared" si="6"/>
        <v>4799.148830261931</v>
      </c>
      <c r="S29" s="370">
        <f t="shared" si="19"/>
        <v>227257.30886567768</v>
      </c>
      <c r="T29" s="451">
        <f t="shared" si="7"/>
        <v>21</v>
      </c>
      <c r="U29" s="320">
        <f t="shared" si="20"/>
        <v>0.01</v>
      </c>
      <c r="V29" s="43">
        <f>IF(T29&gt;'Test de compensation'!$G$121,0,'Calculs détaillés'!V28)</f>
        <v>0</v>
      </c>
      <c r="W29" s="43">
        <f t="shared" si="21"/>
        <v>1.8189894035458565E-12</v>
      </c>
      <c r="X29" s="43">
        <f t="shared" si="8"/>
        <v>-1.8189894035458565E-12</v>
      </c>
      <c r="Y29" s="370">
        <f t="shared" si="22"/>
        <v>1.837179297581315E-10</v>
      </c>
      <c r="Z29" s="451">
        <f t="shared" si="9"/>
        <v>21</v>
      </c>
      <c r="AA29" s="133">
        <f t="shared" si="28"/>
        <v>0.04</v>
      </c>
      <c r="AB29" s="43">
        <f>IF(Z29&gt;'Test de compensation'!$G$122,0,'Calculs détaillés'!AB28)</f>
        <v>0</v>
      </c>
      <c r="AC29" s="43">
        <f t="shared" si="23"/>
        <v>0</v>
      </c>
      <c r="AD29" s="43">
        <f t="shared" si="11"/>
        <v>0</v>
      </c>
      <c r="AE29" s="43">
        <f t="shared" si="24"/>
        <v>0</v>
      </c>
      <c r="AF29" s="136" t="s">
        <v>107</v>
      </c>
      <c r="AG29" s="467">
        <f t="shared" si="25"/>
        <v>21</v>
      </c>
      <c r="AH29" s="142">
        <v>0</v>
      </c>
      <c r="AI29" s="57">
        <f>IF(Z29&gt;'Test de compensation'!$D$142,0,AI28+(AI28*B28))</f>
        <v>0</v>
      </c>
      <c r="AJ29" s="57">
        <f>IF(AG29&gt;'Test de compensation'!$D$142,0,'Calculs détaillés'!AJ28+(AJ28*B28))</f>
        <v>26477.736912684326</v>
      </c>
      <c r="AK29" s="57">
        <f>IF(AG29&gt;'Test de compensation'!$D$142,0,'Calculs détaillés'!AK28+(AK28*B28))</f>
        <v>1744.168383930793</v>
      </c>
      <c r="AL29" s="57">
        <f>IF(AG29&gt;'Test de compensation'!$D$142,0,'Calculs détaillés'!AL28+(AL28*B28))</f>
        <v>12107.638667863099</v>
      </c>
      <c r="AM29" s="57">
        <v>0</v>
      </c>
      <c r="AN29" s="57">
        <f>IF(AG29&gt;'Test de compensation'!$D$142,0,AN28)</f>
        <v>435</v>
      </c>
      <c r="AO29" s="203" t="s">
        <v>107</v>
      </c>
      <c r="AP29" s="136" t="s">
        <v>107</v>
      </c>
      <c r="AQ29" s="276">
        <v>0</v>
      </c>
      <c r="AR29" s="203">
        <v>0</v>
      </c>
      <c r="AS29" s="203">
        <f t="shared" si="26"/>
        <v>12107.638667863099</v>
      </c>
      <c r="AT29" s="135">
        <f t="shared" si="12"/>
        <v>12107.638667863099</v>
      </c>
      <c r="AU29" s="135">
        <f t="shared" si="27"/>
        <v>3629.760494070539</v>
      </c>
      <c r="AV29" s="283"/>
      <c r="AW29" s="142"/>
      <c r="AX29" s="43"/>
    </row>
    <row r="30" spans="1:50" ht="12.75">
      <c r="A30" s="44">
        <v>22</v>
      </c>
      <c r="B30" s="287">
        <f t="shared" si="0"/>
        <v>0.017</v>
      </c>
      <c r="C30" s="413">
        <f>IF(A30&gt;'Test de compensation'!$G$119,0,C29+(C29*B30))</f>
        <v>100209.66066277733</v>
      </c>
      <c r="D30" s="133">
        <v>0.03</v>
      </c>
      <c r="E30" s="417">
        <f t="shared" si="1"/>
        <v>-3006.28981988332</v>
      </c>
      <c r="F30" s="43">
        <f t="shared" si="13"/>
        <v>0</v>
      </c>
      <c r="G30" s="136">
        <f t="shared" si="2"/>
        <v>97203.37084289402</v>
      </c>
      <c r="H30" s="384">
        <f t="shared" si="3"/>
        <v>22</v>
      </c>
      <c r="I30" s="133">
        <f t="shared" si="4"/>
        <v>0.031</v>
      </c>
      <c r="J30" s="43">
        <f>IF(H30&gt;'Test de compensation'!$G$119,0,'Calculs détaillés'!J29)</f>
        <v>48237.83801833731</v>
      </c>
      <c r="K30" s="47">
        <f t="shared" si="14"/>
        <v>21231.03390229803</v>
      </c>
      <c r="L30" s="43">
        <f t="shared" si="5"/>
        <v>27006.80411603928</v>
      </c>
      <c r="M30" s="370">
        <f t="shared" si="15"/>
        <v>657865.2572484133</v>
      </c>
      <c r="N30" s="451">
        <f t="shared" si="16"/>
        <v>22</v>
      </c>
      <c r="O30" s="320">
        <f t="shared" si="17"/>
        <v>0.031</v>
      </c>
      <c r="P30" s="43">
        <f>IF(N30&gt;'Test de compensation'!$G$120,0,'Calculs détaillés'!P29)</f>
        <v>11992.899018836059</v>
      </c>
      <c r="Q30" s="47">
        <f t="shared" si="18"/>
        <v>7044.976574836008</v>
      </c>
      <c r="R30" s="43">
        <f t="shared" si="6"/>
        <v>4947.922444000051</v>
      </c>
      <c r="S30" s="370">
        <f t="shared" si="19"/>
        <v>222309.38642167763</v>
      </c>
      <c r="T30" s="451">
        <f t="shared" si="7"/>
        <v>22</v>
      </c>
      <c r="U30" s="320">
        <f t="shared" si="20"/>
        <v>0.01</v>
      </c>
      <c r="V30" s="43">
        <f>IF(T30&gt;'Test de compensation'!$G$121,0,'Calculs détaillés'!V29)</f>
        <v>0</v>
      </c>
      <c r="W30" s="43">
        <f t="shared" si="21"/>
        <v>1.837179297581315E-12</v>
      </c>
      <c r="X30" s="43">
        <f t="shared" si="8"/>
        <v>-1.837179297581315E-12</v>
      </c>
      <c r="Y30" s="370">
        <f t="shared" si="22"/>
        <v>1.8555510905571283E-10</v>
      </c>
      <c r="Z30" s="451">
        <f t="shared" si="9"/>
        <v>22</v>
      </c>
      <c r="AA30" s="133">
        <f t="shared" si="28"/>
        <v>0.04</v>
      </c>
      <c r="AB30" s="43">
        <f>IF(Z30&gt;'Test de compensation'!$G$122,0,'Calculs détaillés'!AB29)</f>
        <v>0</v>
      </c>
      <c r="AC30" s="43">
        <f t="shared" si="23"/>
        <v>0</v>
      </c>
      <c r="AD30" s="43">
        <f t="shared" si="11"/>
        <v>0</v>
      </c>
      <c r="AE30" s="43">
        <f t="shared" si="24"/>
        <v>0</v>
      </c>
      <c r="AF30" s="136" t="s">
        <v>107</v>
      </c>
      <c r="AG30" s="467">
        <f t="shared" si="25"/>
        <v>22</v>
      </c>
      <c r="AH30" s="142">
        <v>0</v>
      </c>
      <c r="AI30" s="57">
        <f>IF(Z30&gt;'Test de compensation'!$D$142,0,AI29+(AI29*B29))</f>
        <v>0</v>
      </c>
      <c r="AJ30" s="57">
        <f>IF(AG30&gt;'Test de compensation'!$D$142,0,'Calculs détaillés'!AJ29+(AJ29*B29))</f>
        <v>26927.858440199958</v>
      </c>
      <c r="AK30" s="57">
        <f>IF(AG30&gt;'Test de compensation'!$D$142,0,'Calculs détaillés'!AK29+(AK29*B29))</f>
        <v>1773.8192464576164</v>
      </c>
      <c r="AL30" s="57">
        <f>IF(AG30&gt;'Test de compensation'!$D$142,0,'Calculs détaillés'!AL29+(AL29*B29))</f>
        <v>12313.468525216771</v>
      </c>
      <c r="AM30" s="57">
        <v>0</v>
      </c>
      <c r="AN30" s="57">
        <f>IF(AG30&gt;'Test de compensation'!$D$142,0,AN29)</f>
        <v>435</v>
      </c>
      <c r="AO30" s="203" t="s">
        <v>107</v>
      </c>
      <c r="AP30" s="136" t="s">
        <v>107</v>
      </c>
      <c r="AQ30" s="276">
        <v>0</v>
      </c>
      <c r="AR30" s="203">
        <v>0</v>
      </c>
      <c r="AS30" s="203">
        <f t="shared" si="26"/>
        <v>12313.468525216771</v>
      </c>
      <c r="AT30" s="135">
        <f t="shared" si="12"/>
        <v>12313.468525216771</v>
      </c>
      <c r="AU30" s="135">
        <f t="shared" si="27"/>
        <v>3629.760494070539</v>
      </c>
      <c r="AV30" s="283"/>
      <c r="AW30" s="142"/>
      <c r="AX30" s="43"/>
    </row>
    <row r="31" spans="1:50" ht="12.75">
      <c r="A31" s="44">
        <v>23</v>
      </c>
      <c r="B31" s="287">
        <f t="shared" si="0"/>
        <v>0.017</v>
      </c>
      <c r="C31" s="413">
        <f>IF(A31&gt;'Test de compensation'!$G$119,0,C30+(C30*B31))</f>
        <v>101913.22489404454</v>
      </c>
      <c r="D31" s="133">
        <v>0.03</v>
      </c>
      <c r="E31" s="417">
        <f t="shared" si="1"/>
        <v>-3057.3967468213364</v>
      </c>
      <c r="F31" s="43">
        <f t="shared" si="13"/>
        <v>0</v>
      </c>
      <c r="G31" s="136">
        <f t="shared" si="2"/>
        <v>98855.8281472232</v>
      </c>
      <c r="H31" s="384">
        <f t="shared" si="3"/>
        <v>23</v>
      </c>
      <c r="I31" s="133">
        <f t="shared" si="4"/>
        <v>0.031</v>
      </c>
      <c r="J31" s="43">
        <f>IF(H31&gt;'Test de compensation'!$G$119,0,'Calculs détaillés'!J30)</f>
        <v>48237.83801833731</v>
      </c>
      <c r="K31" s="47">
        <f t="shared" si="14"/>
        <v>20393.82297470081</v>
      </c>
      <c r="L31" s="43">
        <f t="shared" si="5"/>
        <v>27844.015043636497</v>
      </c>
      <c r="M31" s="370">
        <f t="shared" si="15"/>
        <v>630021.2422047767</v>
      </c>
      <c r="N31" s="451">
        <f t="shared" si="16"/>
        <v>23</v>
      </c>
      <c r="O31" s="320">
        <f t="shared" si="17"/>
        <v>0.031</v>
      </c>
      <c r="P31" s="43">
        <f>IF(N31&gt;'Test de compensation'!$G$120,0,'Calculs détaillés'!P30)</f>
        <v>11992.899018836059</v>
      </c>
      <c r="Q31" s="47">
        <f t="shared" si="18"/>
        <v>6891.590979072006</v>
      </c>
      <c r="R31" s="43">
        <f t="shared" si="6"/>
        <v>5101.308039764052</v>
      </c>
      <c r="S31" s="370">
        <f t="shared" si="19"/>
        <v>217208.07838191357</v>
      </c>
      <c r="T31" s="451">
        <f t="shared" si="7"/>
        <v>23</v>
      </c>
      <c r="U31" s="320">
        <f t="shared" si="20"/>
        <v>0.01</v>
      </c>
      <c r="V31" s="43">
        <f>IF(T31&gt;'Test de compensation'!$G$121,0,'Calculs détaillés'!V30)</f>
        <v>0</v>
      </c>
      <c r="W31" s="43">
        <f t="shared" si="21"/>
        <v>1.8555510905571282E-12</v>
      </c>
      <c r="X31" s="43">
        <f t="shared" si="8"/>
        <v>-1.8555510905571282E-12</v>
      </c>
      <c r="Y31" s="370">
        <f t="shared" si="22"/>
        <v>1.8741066014626996E-10</v>
      </c>
      <c r="Z31" s="451">
        <f t="shared" si="9"/>
        <v>23</v>
      </c>
      <c r="AA31" s="133">
        <f t="shared" si="28"/>
        <v>0.04</v>
      </c>
      <c r="AB31" s="43">
        <f>IF(Z31&gt;'Test de compensation'!$G$122,0,'Calculs détaillés'!AB30)</f>
        <v>0</v>
      </c>
      <c r="AC31" s="43">
        <f t="shared" si="23"/>
        <v>0</v>
      </c>
      <c r="AD31" s="43">
        <f t="shared" si="11"/>
        <v>0</v>
      </c>
      <c r="AE31" s="43">
        <f t="shared" si="24"/>
        <v>0</v>
      </c>
      <c r="AF31" s="136" t="s">
        <v>107</v>
      </c>
      <c r="AG31" s="467">
        <f t="shared" si="25"/>
        <v>23</v>
      </c>
      <c r="AH31" s="142">
        <v>0</v>
      </c>
      <c r="AI31" s="57">
        <f>IF(Z31&gt;'Test de compensation'!$D$142,0,AI30+(AI30*B30))</f>
        <v>0</v>
      </c>
      <c r="AJ31" s="57">
        <f>IF(AG31&gt;'Test de compensation'!$D$142,0,'Calculs détaillés'!AJ30+(AJ30*B30))</f>
        <v>27385.632033683356</v>
      </c>
      <c r="AK31" s="57">
        <f>IF(AG31&gt;'Test de compensation'!$D$142,0,'Calculs détaillés'!AK30+(AK30*B30))</f>
        <v>1803.974173647396</v>
      </c>
      <c r="AL31" s="57">
        <f>IF(AG31&gt;'Test de compensation'!$D$142,0,'Calculs détaillés'!AL30+(AL30*B30))</f>
        <v>12522.797490145456</v>
      </c>
      <c r="AM31" s="57">
        <v>0</v>
      </c>
      <c r="AN31" s="57">
        <f>IF(AG31&gt;'Test de compensation'!$D$142,0,AN30)</f>
        <v>435</v>
      </c>
      <c r="AO31" s="203" t="s">
        <v>107</v>
      </c>
      <c r="AP31" s="136" t="s">
        <v>107</v>
      </c>
      <c r="AQ31" s="276">
        <v>0</v>
      </c>
      <c r="AR31" s="203">
        <v>0</v>
      </c>
      <c r="AS31" s="203">
        <f t="shared" si="26"/>
        <v>12522.797490145456</v>
      </c>
      <c r="AT31" s="135">
        <f t="shared" si="12"/>
        <v>12522.797490145456</v>
      </c>
      <c r="AU31" s="135">
        <f t="shared" si="27"/>
        <v>3629.760494070539</v>
      </c>
      <c r="AV31" s="283"/>
      <c r="AW31" s="142"/>
      <c r="AX31" s="43"/>
    </row>
    <row r="32" spans="1:50" ht="12.75">
      <c r="A32" s="44">
        <v>24</v>
      </c>
      <c r="B32" s="287">
        <f t="shared" si="0"/>
        <v>0.017</v>
      </c>
      <c r="C32" s="413">
        <f>IF(A32&gt;'Test de compensation'!$G$119,0,C31+(C31*B32))</f>
        <v>103645.7497172433</v>
      </c>
      <c r="D32" s="133">
        <v>0.03</v>
      </c>
      <c r="E32" s="417">
        <f t="shared" si="1"/>
        <v>-3109.3724915172993</v>
      </c>
      <c r="F32" s="43">
        <f t="shared" si="13"/>
        <v>0</v>
      </c>
      <c r="G32" s="136">
        <f t="shared" si="2"/>
        <v>100536.37722572601</v>
      </c>
      <c r="H32" s="384">
        <f t="shared" si="3"/>
        <v>24</v>
      </c>
      <c r="I32" s="133">
        <f t="shared" si="4"/>
        <v>0.031</v>
      </c>
      <c r="J32" s="43">
        <f>IF(H32&gt;'Test de compensation'!$G$119,0,'Calculs détaillés'!J31)</f>
        <v>48237.83801833731</v>
      </c>
      <c r="K32" s="47">
        <f t="shared" si="14"/>
        <v>19530.65850834808</v>
      </c>
      <c r="L32" s="43">
        <f t="shared" si="5"/>
        <v>28707.17950998923</v>
      </c>
      <c r="M32" s="370">
        <f t="shared" si="15"/>
        <v>601314.0626947875</v>
      </c>
      <c r="N32" s="451">
        <f t="shared" si="16"/>
        <v>24</v>
      </c>
      <c r="O32" s="320">
        <f t="shared" si="17"/>
        <v>0.031</v>
      </c>
      <c r="P32" s="43">
        <f>IF(N32&gt;'Test de compensation'!$G$120,0,'Calculs détaillés'!P31)</f>
        <v>11992.899018836059</v>
      </c>
      <c r="Q32" s="47">
        <f t="shared" si="18"/>
        <v>6733.45042983932</v>
      </c>
      <c r="R32" s="43">
        <f t="shared" si="6"/>
        <v>5259.448588996738</v>
      </c>
      <c r="S32" s="370">
        <f t="shared" si="19"/>
        <v>211948.62979291682</v>
      </c>
      <c r="T32" s="451">
        <f t="shared" si="7"/>
        <v>24</v>
      </c>
      <c r="U32" s="320">
        <f t="shared" si="20"/>
        <v>0.01</v>
      </c>
      <c r="V32" s="43">
        <f>IF(T32&gt;'Test de compensation'!$G$121,0,'Calculs détaillés'!V31)</f>
        <v>0</v>
      </c>
      <c r="W32" s="43">
        <f t="shared" si="21"/>
        <v>1.8741066014626997E-12</v>
      </c>
      <c r="X32" s="43">
        <f t="shared" si="8"/>
        <v>-1.8741066014626997E-12</v>
      </c>
      <c r="Y32" s="370">
        <f t="shared" si="22"/>
        <v>1.8928476674773264E-10</v>
      </c>
      <c r="Z32" s="451">
        <f t="shared" si="9"/>
        <v>24</v>
      </c>
      <c r="AA32" s="133">
        <f t="shared" si="28"/>
        <v>0.04</v>
      </c>
      <c r="AB32" s="43">
        <f>IF(Z32&gt;'Test de compensation'!$G$122,0,'Calculs détaillés'!AB31)</f>
        <v>0</v>
      </c>
      <c r="AC32" s="43">
        <f t="shared" si="23"/>
        <v>0</v>
      </c>
      <c r="AD32" s="43">
        <f t="shared" si="11"/>
        <v>0</v>
      </c>
      <c r="AE32" s="43">
        <f t="shared" si="24"/>
        <v>0</v>
      </c>
      <c r="AF32" s="136" t="s">
        <v>107</v>
      </c>
      <c r="AG32" s="467">
        <f t="shared" si="25"/>
        <v>24</v>
      </c>
      <c r="AH32" s="142">
        <v>0</v>
      </c>
      <c r="AI32" s="57">
        <f>IF(Z32&gt;'Test de compensation'!$D$142,0,AI31+(AI31*B31))</f>
        <v>0</v>
      </c>
      <c r="AJ32" s="57">
        <f>IF(AG32&gt;'Test de compensation'!$D$142,0,'Calculs détaillés'!AJ31+(AJ31*B31))</f>
        <v>27851.18777825597</v>
      </c>
      <c r="AK32" s="57">
        <f>IF(AG32&gt;'Test de compensation'!$D$142,0,'Calculs détaillés'!AK31+(AK31*B31))</f>
        <v>1834.6417345994016</v>
      </c>
      <c r="AL32" s="57">
        <f>IF(AG32&gt;'Test de compensation'!$D$142,0,'Calculs détaillés'!AL31+(AL31*B31))</f>
        <v>12735.68504747793</v>
      </c>
      <c r="AM32" s="57">
        <v>0</v>
      </c>
      <c r="AN32" s="57">
        <f>IF(AG32&gt;'Test de compensation'!$D$142,0,AN31)</f>
        <v>435</v>
      </c>
      <c r="AO32" s="203" t="s">
        <v>107</v>
      </c>
      <c r="AP32" s="136" t="s">
        <v>107</v>
      </c>
      <c r="AQ32" s="276">
        <v>0</v>
      </c>
      <c r="AR32" s="203">
        <v>0</v>
      </c>
      <c r="AS32" s="203">
        <f t="shared" si="26"/>
        <v>12735.68504747793</v>
      </c>
      <c r="AT32" s="135">
        <f t="shared" si="12"/>
        <v>12735.68504747793</v>
      </c>
      <c r="AU32" s="135">
        <f t="shared" si="27"/>
        <v>3629.760494070539</v>
      </c>
      <c r="AV32" s="283"/>
      <c r="AW32" s="142"/>
      <c r="AX32" s="43"/>
    </row>
    <row r="33" spans="1:50" ht="12.75">
      <c r="A33" s="44">
        <v>25</v>
      </c>
      <c r="B33" s="287">
        <f t="shared" si="0"/>
        <v>0.017</v>
      </c>
      <c r="C33" s="413">
        <f>IF(A33&gt;'Test de compensation'!$G$119,0,C32+(C32*B33))</f>
        <v>105407.72746243644</v>
      </c>
      <c r="D33" s="133">
        <v>0.03</v>
      </c>
      <c r="E33" s="417">
        <f t="shared" si="1"/>
        <v>-3162.231823873093</v>
      </c>
      <c r="F33" s="43">
        <f t="shared" si="13"/>
        <v>0</v>
      </c>
      <c r="G33" s="136">
        <f t="shared" si="2"/>
        <v>102245.49563856334</v>
      </c>
      <c r="H33" s="384">
        <f t="shared" si="3"/>
        <v>25</v>
      </c>
      <c r="I33" s="133">
        <f t="shared" si="4"/>
        <v>0.031</v>
      </c>
      <c r="J33" s="43">
        <f>IF(H33&gt;'Test de compensation'!$G$119,0,'Calculs détaillés'!J32)</f>
        <v>48237.83801833731</v>
      </c>
      <c r="K33" s="47">
        <f t="shared" si="14"/>
        <v>18640.735943538413</v>
      </c>
      <c r="L33" s="43">
        <f t="shared" si="5"/>
        <v>29597.102074798895</v>
      </c>
      <c r="M33" s="370">
        <f t="shared" si="15"/>
        <v>571716.9606199886</v>
      </c>
      <c r="N33" s="451">
        <f t="shared" si="16"/>
        <v>25</v>
      </c>
      <c r="O33" s="320">
        <f t="shared" si="17"/>
        <v>0.031</v>
      </c>
      <c r="P33" s="43">
        <f>IF(N33&gt;'Test de compensation'!$G$120,0,'Calculs détaillés'!P32)</f>
        <v>11992.899018836059</v>
      </c>
      <c r="Q33" s="47">
        <f t="shared" si="18"/>
        <v>6570.407523580421</v>
      </c>
      <c r="R33" s="43">
        <f t="shared" si="6"/>
        <v>5422.491495255637</v>
      </c>
      <c r="S33" s="370">
        <f t="shared" si="19"/>
        <v>206526.13829766118</v>
      </c>
      <c r="T33" s="451">
        <f t="shared" si="7"/>
        <v>25</v>
      </c>
      <c r="U33" s="320">
        <f t="shared" si="20"/>
        <v>0.01</v>
      </c>
      <c r="V33" s="43">
        <f>IF(T33&gt;'Test de compensation'!$G$121,0,'Calculs détaillés'!V32)</f>
        <v>0</v>
      </c>
      <c r="W33" s="43">
        <f t="shared" si="21"/>
        <v>1.8928476674773265E-12</v>
      </c>
      <c r="X33" s="43">
        <f t="shared" si="8"/>
        <v>-1.8928476674773265E-12</v>
      </c>
      <c r="Y33" s="370">
        <f t="shared" si="22"/>
        <v>1.9117761441520996E-10</v>
      </c>
      <c r="Z33" s="451">
        <f t="shared" si="9"/>
        <v>25</v>
      </c>
      <c r="AA33" s="133">
        <f t="shared" si="28"/>
        <v>0.04</v>
      </c>
      <c r="AB33" s="43">
        <f>IF(Z33&gt;'Test de compensation'!$G$122,0,'Calculs détaillés'!AB32)</f>
        <v>0</v>
      </c>
      <c r="AC33" s="43">
        <f t="shared" si="23"/>
        <v>0</v>
      </c>
      <c r="AD33" s="43">
        <f t="shared" si="11"/>
        <v>0</v>
      </c>
      <c r="AE33" s="43">
        <f t="shared" si="24"/>
        <v>0</v>
      </c>
      <c r="AF33" s="136" t="s">
        <v>107</v>
      </c>
      <c r="AG33" s="467">
        <f t="shared" si="25"/>
        <v>25</v>
      </c>
      <c r="AH33" s="142">
        <v>0</v>
      </c>
      <c r="AI33" s="57">
        <f>IF(Z33&gt;'Test de compensation'!$D$142,0,AI32+(AI32*B32))</f>
        <v>0</v>
      </c>
      <c r="AJ33" s="57">
        <f>IF(AG33&gt;'Test de compensation'!$D$142,0,'Calculs détaillés'!AJ32+(AJ32*B32))</f>
        <v>28324.65797048632</v>
      </c>
      <c r="AK33" s="57">
        <f>IF(AG33&gt;'Test de compensation'!$D$142,0,'Calculs détaillés'!AK32+(AK32*B32))</f>
        <v>1865.8306440875915</v>
      </c>
      <c r="AL33" s="57">
        <f>IF(AG33&gt;'Test de compensation'!$D$142,0,'Calculs détaillés'!AL32+(AL32*B32))</f>
        <v>12952.191693285054</v>
      </c>
      <c r="AM33" s="57">
        <v>0</v>
      </c>
      <c r="AN33" s="57">
        <f>IF(AG33&gt;'Test de compensation'!$D$142,0,AN32)</f>
        <v>435</v>
      </c>
      <c r="AO33" s="203" t="s">
        <v>107</v>
      </c>
      <c r="AP33" s="136" t="s">
        <v>107</v>
      </c>
      <c r="AQ33" s="276">
        <v>0</v>
      </c>
      <c r="AR33" s="203">
        <v>0</v>
      </c>
      <c r="AS33" s="203">
        <f t="shared" si="26"/>
        <v>12952.191693285054</v>
      </c>
      <c r="AT33" s="135">
        <f t="shared" si="12"/>
        <v>12952.191693285054</v>
      </c>
      <c r="AU33" s="135">
        <f t="shared" si="27"/>
        <v>3629.760494070539</v>
      </c>
      <c r="AV33" s="283"/>
      <c r="AW33" s="142"/>
      <c r="AX33" s="43"/>
    </row>
    <row r="34" spans="1:50" ht="12.75">
      <c r="A34" s="44">
        <v>26</v>
      </c>
      <c r="B34" s="287">
        <f t="shared" si="0"/>
        <v>0.017</v>
      </c>
      <c r="C34" s="413">
        <f>IF(A34&gt;'Test de compensation'!$G$119,0,C33+(C33*B34))</f>
        <v>107199.65882929786</v>
      </c>
      <c r="D34" s="133">
        <v>0.03</v>
      </c>
      <c r="E34" s="417">
        <f t="shared" si="1"/>
        <v>-3215.9897648789356</v>
      </c>
      <c r="F34" s="43">
        <f t="shared" si="13"/>
        <v>0</v>
      </c>
      <c r="G34" s="136">
        <f t="shared" si="2"/>
        <v>103983.66906441892</v>
      </c>
      <c r="H34" s="384">
        <f t="shared" si="3"/>
        <v>26</v>
      </c>
      <c r="I34" s="133">
        <f t="shared" si="4"/>
        <v>0.031</v>
      </c>
      <c r="J34" s="43">
        <f>IF(H34&gt;'Test de compensation'!$G$119,0,'Calculs détaillés'!J33)</f>
        <v>48237.83801833731</v>
      </c>
      <c r="K34" s="47">
        <f t="shared" si="14"/>
        <v>17723.225779219647</v>
      </c>
      <c r="L34" s="43">
        <f t="shared" si="5"/>
        <v>30514.61223911766</v>
      </c>
      <c r="M34" s="370">
        <f t="shared" si="15"/>
        <v>541202.348380871</v>
      </c>
      <c r="N34" s="451">
        <f t="shared" si="16"/>
        <v>26</v>
      </c>
      <c r="O34" s="320">
        <f t="shared" si="17"/>
        <v>0.031</v>
      </c>
      <c r="P34" s="43">
        <f>IF(N34&gt;'Test de compensation'!$G$120,0,'Calculs détaillés'!P33)</f>
        <v>11992.899018836059</v>
      </c>
      <c r="Q34" s="47">
        <f t="shared" si="18"/>
        <v>6402.310287227497</v>
      </c>
      <c r="R34" s="43">
        <f t="shared" si="6"/>
        <v>5590.588731608562</v>
      </c>
      <c r="S34" s="370">
        <f t="shared" si="19"/>
        <v>200935.54956605262</v>
      </c>
      <c r="T34" s="451">
        <f t="shared" si="7"/>
        <v>26</v>
      </c>
      <c r="U34" s="320">
        <f t="shared" si="20"/>
        <v>0.01</v>
      </c>
      <c r="V34" s="43">
        <f>IF(T34&gt;'Test de compensation'!$G$121,0,'Calculs détaillés'!V33)</f>
        <v>0</v>
      </c>
      <c r="W34" s="43">
        <f t="shared" si="21"/>
        <v>1.9117761441520996E-12</v>
      </c>
      <c r="X34" s="43">
        <f t="shared" si="8"/>
        <v>-1.9117761441520996E-12</v>
      </c>
      <c r="Y34" s="370">
        <f t="shared" si="22"/>
        <v>1.9308939055936207E-10</v>
      </c>
      <c r="Z34" s="451">
        <f t="shared" si="9"/>
        <v>26</v>
      </c>
      <c r="AA34" s="133">
        <f t="shared" si="28"/>
        <v>0.04</v>
      </c>
      <c r="AB34" s="43">
        <f>IF(Z34&gt;'Test de compensation'!$G$122,0,'Calculs détaillés'!AB33)</f>
        <v>0</v>
      </c>
      <c r="AC34" s="43">
        <f t="shared" si="23"/>
        <v>0</v>
      </c>
      <c r="AD34" s="43">
        <f t="shared" si="11"/>
        <v>0</v>
      </c>
      <c r="AE34" s="43">
        <f t="shared" si="24"/>
        <v>0</v>
      </c>
      <c r="AF34" s="136" t="s">
        <v>107</v>
      </c>
      <c r="AG34" s="467">
        <f t="shared" si="25"/>
        <v>26</v>
      </c>
      <c r="AH34" s="142">
        <v>0</v>
      </c>
      <c r="AI34" s="57">
        <f>IF(Z34&gt;'Test de compensation'!$D$142,0,AI33+(AI33*B33))</f>
        <v>0</v>
      </c>
      <c r="AJ34" s="57">
        <f>IF(AG34&gt;'Test de compensation'!$D$142,0,'Calculs détaillés'!AJ33+(AJ33*B33))</f>
        <v>28806.177155984587</v>
      </c>
      <c r="AK34" s="57">
        <f>IF(AG34&gt;'Test de compensation'!$D$142,0,'Calculs détaillés'!AK33+(AK33*B33))</f>
        <v>1897.5497650370805</v>
      </c>
      <c r="AL34" s="57">
        <f>IF(AG34&gt;'Test de compensation'!$D$142,0,'Calculs détaillés'!AL33+(AL33*B33))</f>
        <v>13172.3789520709</v>
      </c>
      <c r="AM34" s="57">
        <v>0</v>
      </c>
      <c r="AN34" s="57">
        <f>IF(AG34&gt;'Test de compensation'!$D$142,0,AN33)</f>
        <v>435</v>
      </c>
      <c r="AO34" s="203" t="s">
        <v>107</v>
      </c>
      <c r="AP34" s="136" t="s">
        <v>107</v>
      </c>
      <c r="AQ34" s="276">
        <v>0</v>
      </c>
      <c r="AR34" s="203">
        <f>AL34</f>
        <v>13172.3789520709</v>
      </c>
      <c r="AS34" s="203">
        <f aca="true" t="shared" si="29" ref="AS34:AS48">AR34-AL34</f>
        <v>0</v>
      </c>
      <c r="AT34" s="135">
        <f t="shared" si="12"/>
        <v>0</v>
      </c>
      <c r="AU34" s="135">
        <f t="shared" si="27"/>
        <v>3629.760494070539</v>
      </c>
      <c r="AV34" s="283"/>
      <c r="AW34" s="142"/>
      <c r="AX34" s="43"/>
    </row>
    <row r="35" spans="1:50" ht="12.75">
      <c r="A35" s="44">
        <v>27</v>
      </c>
      <c r="B35" s="287">
        <f t="shared" si="0"/>
        <v>0.017</v>
      </c>
      <c r="C35" s="413">
        <f>IF(A35&gt;'Test de compensation'!$G$119,0,C34+(C34*B35))</f>
        <v>109022.05302939592</v>
      </c>
      <c r="D35" s="133">
        <v>0.03</v>
      </c>
      <c r="E35" s="417">
        <f t="shared" si="1"/>
        <v>-3270.661590881877</v>
      </c>
      <c r="F35" s="43">
        <f t="shared" si="13"/>
        <v>0</v>
      </c>
      <c r="G35" s="136">
        <f t="shared" si="2"/>
        <v>105751.39143851404</v>
      </c>
      <c r="H35" s="384">
        <f t="shared" si="3"/>
        <v>27</v>
      </c>
      <c r="I35" s="133">
        <f t="shared" si="4"/>
        <v>0.031</v>
      </c>
      <c r="J35" s="43">
        <f>IF(H35&gt;'Test de compensation'!$G$119,0,'Calculs détaillés'!J34)</f>
        <v>48237.83801833731</v>
      </c>
      <c r="K35" s="47">
        <f t="shared" si="14"/>
        <v>16777.272799807</v>
      </c>
      <c r="L35" s="43">
        <f t="shared" si="5"/>
        <v>31460.565218530308</v>
      </c>
      <c r="M35" s="370">
        <f t="shared" si="15"/>
        <v>509741.7831623407</v>
      </c>
      <c r="N35" s="451">
        <f t="shared" si="16"/>
        <v>27</v>
      </c>
      <c r="O35" s="320">
        <f t="shared" si="17"/>
        <v>0.031</v>
      </c>
      <c r="P35" s="43">
        <f>IF(N35&gt;'Test de compensation'!$G$120,0,'Calculs détaillés'!P34)</f>
        <v>11992.899018836059</v>
      </c>
      <c r="Q35" s="47">
        <f t="shared" si="18"/>
        <v>6229.002036547631</v>
      </c>
      <c r="R35" s="43">
        <f t="shared" si="6"/>
        <v>5763.896982288427</v>
      </c>
      <c r="S35" s="370">
        <f t="shared" si="19"/>
        <v>195171.6525837642</v>
      </c>
      <c r="T35" s="451">
        <f t="shared" si="7"/>
        <v>27</v>
      </c>
      <c r="U35" s="320">
        <f t="shared" si="20"/>
        <v>0.01</v>
      </c>
      <c r="V35" s="43">
        <f>IF(T35&gt;'Test de compensation'!$G$121,0,'Calculs détaillés'!V34)</f>
        <v>0</v>
      </c>
      <c r="W35" s="43">
        <f t="shared" si="21"/>
        <v>1.9308939055936206E-12</v>
      </c>
      <c r="X35" s="43">
        <f t="shared" si="8"/>
        <v>-1.9308939055936206E-12</v>
      </c>
      <c r="Y35" s="370">
        <f t="shared" si="22"/>
        <v>1.950202844649557E-10</v>
      </c>
      <c r="Z35" s="451">
        <f t="shared" si="9"/>
        <v>27</v>
      </c>
      <c r="AA35" s="133">
        <f t="shared" si="28"/>
        <v>0.04</v>
      </c>
      <c r="AB35" s="43">
        <f>IF(Z35&gt;'Test de compensation'!$G$122,0,'Calculs détaillés'!AB34)</f>
        <v>0</v>
      </c>
      <c r="AC35" s="43">
        <f t="shared" si="23"/>
        <v>0</v>
      </c>
      <c r="AD35" s="43">
        <f t="shared" si="11"/>
        <v>0</v>
      </c>
      <c r="AE35" s="43">
        <f t="shared" si="24"/>
        <v>0</v>
      </c>
      <c r="AF35" s="136" t="s">
        <v>107</v>
      </c>
      <c r="AG35" s="467">
        <f t="shared" si="25"/>
        <v>27</v>
      </c>
      <c r="AH35" s="142">
        <v>0</v>
      </c>
      <c r="AI35" s="57">
        <f>IF(Z35&gt;'Test de compensation'!$D$142,0,AI34+(AI34*B34))</f>
        <v>0</v>
      </c>
      <c r="AJ35" s="57">
        <f>IF(AG35&gt;'Test de compensation'!$D$142,0,'Calculs détaillés'!AJ34+(AJ34*B34))</f>
        <v>29295.882167636326</v>
      </c>
      <c r="AK35" s="57">
        <f>IF(AG35&gt;'Test de compensation'!$D$142,0,'Calculs détaillés'!AK34+(AK34*B34))</f>
        <v>1929.8081110427108</v>
      </c>
      <c r="AL35" s="57">
        <f>IF(AG35&gt;'Test de compensation'!$D$142,0,'Calculs détaillés'!AL34+(AL34*B34))</f>
        <v>13396.309394256104</v>
      </c>
      <c r="AM35" s="57">
        <v>0</v>
      </c>
      <c r="AN35" s="57">
        <f>IF(AG35&gt;'Test de compensation'!$D$142,0,AN34)</f>
        <v>435</v>
      </c>
      <c r="AO35" s="203" t="s">
        <v>107</v>
      </c>
      <c r="AP35" s="136" t="s">
        <v>107</v>
      </c>
      <c r="AQ35" s="276">
        <v>0</v>
      </c>
      <c r="AR35" s="203">
        <f aca="true" t="shared" si="30" ref="AR35:AR48">AL35</f>
        <v>13396.309394256104</v>
      </c>
      <c r="AS35" s="203">
        <f t="shared" si="29"/>
        <v>0</v>
      </c>
      <c r="AT35" s="135">
        <f t="shared" si="12"/>
        <v>0</v>
      </c>
      <c r="AU35" s="135">
        <f t="shared" si="27"/>
        <v>3629.760494070539</v>
      </c>
      <c r="AV35" s="283"/>
      <c r="AW35" s="142"/>
      <c r="AX35" s="43"/>
    </row>
    <row r="36" spans="1:50" ht="12.75">
      <c r="A36" s="44">
        <v>28</v>
      </c>
      <c r="B36" s="287">
        <f t="shared" si="0"/>
        <v>0.017</v>
      </c>
      <c r="C36" s="413">
        <f>IF(A36&gt;'Test de compensation'!$G$119,0,C35+(C35*B36))</f>
        <v>110875.42793089565</v>
      </c>
      <c r="D36" s="133">
        <v>0.03</v>
      </c>
      <c r="E36" s="417">
        <f t="shared" si="1"/>
        <v>-3326.2628379268695</v>
      </c>
      <c r="F36" s="43">
        <f t="shared" si="13"/>
        <v>0</v>
      </c>
      <c r="G36" s="136">
        <f t="shared" si="2"/>
        <v>107549.16509296877</v>
      </c>
      <c r="H36" s="384">
        <f t="shared" si="3"/>
        <v>28</v>
      </c>
      <c r="I36" s="133">
        <f t="shared" si="4"/>
        <v>0.031</v>
      </c>
      <c r="J36" s="43">
        <f>IF(H36&gt;'Test de compensation'!$G$119,0,'Calculs détaillés'!J35)</f>
        <v>48237.83801833731</v>
      </c>
      <c r="K36" s="47">
        <f t="shared" si="14"/>
        <v>15801.995278032562</v>
      </c>
      <c r="L36" s="43">
        <f t="shared" si="5"/>
        <v>32435.842740304746</v>
      </c>
      <c r="M36" s="370">
        <f t="shared" si="15"/>
        <v>477305.9404220359</v>
      </c>
      <c r="N36" s="451">
        <f t="shared" si="16"/>
        <v>28</v>
      </c>
      <c r="O36" s="320">
        <f t="shared" si="17"/>
        <v>0.031</v>
      </c>
      <c r="P36" s="43">
        <f>IF(N36&gt;'Test de compensation'!$G$120,0,'Calculs détaillés'!P35)</f>
        <v>11992.899018836059</v>
      </c>
      <c r="Q36" s="47">
        <f t="shared" si="18"/>
        <v>6050.32123009669</v>
      </c>
      <c r="R36" s="43">
        <f t="shared" si="6"/>
        <v>5942.577788739369</v>
      </c>
      <c r="S36" s="370">
        <f t="shared" si="19"/>
        <v>189229.07479502482</v>
      </c>
      <c r="T36" s="451">
        <f t="shared" si="7"/>
        <v>28</v>
      </c>
      <c r="U36" s="320">
        <f t="shared" si="20"/>
        <v>0.01</v>
      </c>
      <c r="V36" s="43">
        <f>IF(T36&gt;'Test de compensation'!$G$121,0,'Calculs détaillés'!V35)</f>
        <v>0</v>
      </c>
      <c r="W36" s="43">
        <f t="shared" si="21"/>
        <v>1.950202844649557E-12</v>
      </c>
      <c r="X36" s="43">
        <f t="shared" si="8"/>
        <v>-1.950202844649557E-12</v>
      </c>
      <c r="Y36" s="370">
        <f t="shared" si="22"/>
        <v>1.9697048730960525E-10</v>
      </c>
      <c r="Z36" s="451">
        <f t="shared" si="9"/>
        <v>28</v>
      </c>
      <c r="AA36" s="133">
        <f t="shared" si="28"/>
        <v>0.04</v>
      </c>
      <c r="AB36" s="43">
        <f>IF(Z36&gt;'Test de compensation'!$G$122,0,'Calculs détaillés'!AB35)</f>
        <v>0</v>
      </c>
      <c r="AC36" s="43">
        <f t="shared" si="23"/>
        <v>0</v>
      </c>
      <c r="AD36" s="43">
        <f t="shared" si="11"/>
        <v>0</v>
      </c>
      <c r="AE36" s="43">
        <f t="shared" si="24"/>
        <v>0</v>
      </c>
      <c r="AF36" s="136" t="s">
        <v>107</v>
      </c>
      <c r="AG36" s="467">
        <f t="shared" si="25"/>
        <v>28</v>
      </c>
      <c r="AH36" s="142">
        <v>0</v>
      </c>
      <c r="AI36" s="57">
        <f>IF(Z36&gt;'Test de compensation'!$D$142,0,AI35+(AI35*B35))</f>
        <v>0</v>
      </c>
      <c r="AJ36" s="57">
        <f>IF(AG36&gt;'Test de compensation'!$D$142,0,'Calculs détaillés'!AJ35+(AJ35*B35))</f>
        <v>29793.912164486144</v>
      </c>
      <c r="AK36" s="57">
        <f>IF(AG36&gt;'Test de compensation'!$D$142,0,'Calculs détaillés'!AK35+(AK35*B35))</f>
        <v>1962.614848930437</v>
      </c>
      <c r="AL36" s="57">
        <f>IF(AG36&gt;'Test de compensation'!$D$142,0,'Calculs détaillés'!AL35+(AL35*B35))</f>
        <v>13624.046653958458</v>
      </c>
      <c r="AM36" s="57">
        <v>0</v>
      </c>
      <c r="AN36" s="57">
        <f>IF(AG36&gt;'Test de compensation'!$D$142,0,AN35)</f>
        <v>435</v>
      </c>
      <c r="AO36" s="203" t="s">
        <v>107</v>
      </c>
      <c r="AP36" s="136" t="s">
        <v>107</v>
      </c>
      <c r="AQ36" s="276">
        <v>0</v>
      </c>
      <c r="AR36" s="203">
        <f t="shared" si="30"/>
        <v>13624.046653958458</v>
      </c>
      <c r="AS36" s="203">
        <f t="shared" si="29"/>
        <v>0</v>
      </c>
      <c r="AT36" s="135">
        <f t="shared" si="12"/>
        <v>0</v>
      </c>
      <c r="AU36" s="135">
        <f t="shared" si="27"/>
        <v>3629.760494070539</v>
      </c>
      <c r="AV36" s="283"/>
      <c r="AW36" s="142"/>
      <c r="AX36" s="43"/>
    </row>
    <row r="37" spans="1:50" ht="12.75">
      <c r="A37" s="44">
        <v>29</v>
      </c>
      <c r="B37" s="287">
        <f t="shared" si="0"/>
        <v>0.017</v>
      </c>
      <c r="C37" s="413">
        <f>IF(A37&gt;'Test de compensation'!$G$119,0,C36+(C36*B37))</f>
        <v>112760.31020572087</v>
      </c>
      <c r="D37" s="133">
        <v>0.03</v>
      </c>
      <c r="E37" s="417">
        <f t="shared" si="1"/>
        <v>-3382.8093061716263</v>
      </c>
      <c r="F37" s="43">
        <f t="shared" si="13"/>
        <v>0</v>
      </c>
      <c r="G37" s="136">
        <f t="shared" si="2"/>
        <v>109377.50089954925</v>
      </c>
      <c r="H37" s="384">
        <f t="shared" si="3"/>
        <v>29</v>
      </c>
      <c r="I37" s="133">
        <f t="shared" si="4"/>
        <v>0.031</v>
      </c>
      <c r="J37" s="43">
        <f>IF(H37&gt;'Test de compensation'!$G$119,0,'Calculs détaillés'!J36)</f>
        <v>48237.83801833731</v>
      </c>
      <c r="K37" s="47">
        <f t="shared" si="14"/>
        <v>14796.484153083115</v>
      </c>
      <c r="L37" s="43">
        <f t="shared" si="5"/>
        <v>33441.35386525419</v>
      </c>
      <c r="M37" s="370">
        <f t="shared" si="15"/>
        <v>443864.5865567817</v>
      </c>
      <c r="N37" s="451">
        <f t="shared" si="16"/>
        <v>29</v>
      </c>
      <c r="O37" s="320">
        <f t="shared" si="17"/>
        <v>0.031</v>
      </c>
      <c r="P37" s="43">
        <f>IF(N37&gt;'Test de compensation'!$G$120,0,'Calculs détaillés'!P36)</f>
        <v>11992.899018836059</v>
      </c>
      <c r="Q37" s="47">
        <f t="shared" si="18"/>
        <v>5866.101318645769</v>
      </c>
      <c r="R37" s="43">
        <f t="shared" si="6"/>
        <v>6126.797700190289</v>
      </c>
      <c r="S37" s="370">
        <f t="shared" si="19"/>
        <v>183102.27709483454</v>
      </c>
      <c r="T37" s="451">
        <f t="shared" si="7"/>
        <v>29</v>
      </c>
      <c r="U37" s="320">
        <f t="shared" si="20"/>
        <v>0.01</v>
      </c>
      <c r="V37" s="43">
        <f>IF(T37&gt;'Test de compensation'!$G$121,0,'Calculs détaillés'!V36)</f>
        <v>0</v>
      </c>
      <c r="W37" s="43">
        <f t="shared" si="21"/>
        <v>1.9697048730960523E-12</v>
      </c>
      <c r="X37" s="43">
        <f t="shared" si="8"/>
        <v>-1.9697048730960523E-12</v>
      </c>
      <c r="Y37" s="370">
        <f t="shared" si="22"/>
        <v>1.989401921827013E-10</v>
      </c>
      <c r="Z37" s="451">
        <f t="shared" si="9"/>
        <v>29</v>
      </c>
      <c r="AA37" s="133">
        <f t="shared" si="28"/>
        <v>0.04</v>
      </c>
      <c r="AB37" s="43">
        <f>IF(Z37&gt;'Test de compensation'!$G$122,0,'Calculs détaillés'!AB36)</f>
        <v>0</v>
      </c>
      <c r="AC37" s="43">
        <f t="shared" si="23"/>
        <v>0</v>
      </c>
      <c r="AD37" s="43">
        <f t="shared" si="11"/>
        <v>0</v>
      </c>
      <c r="AE37" s="43">
        <f t="shared" si="24"/>
        <v>0</v>
      </c>
      <c r="AF37" s="136" t="s">
        <v>107</v>
      </c>
      <c r="AG37" s="467">
        <f t="shared" si="25"/>
        <v>29</v>
      </c>
      <c r="AH37" s="142">
        <v>0</v>
      </c>
      <c r="AI37" s="57">
        <f>IF(Z37&gt;'Test de compensation'!$D$142,0,AI36+(AI36*B36))</f>
        <v>0</v>
      </c>
      <c r="AJ37" s="57">
        <f>IF(AG37&gt;'Test de compensation'!$D$142,0,'Calculs détaillés'!AJ36+(AJ36*B36))</f>
        <v>30300.40867128241</v>
      </c>
      <c r="AK37" s="57">
        <f>IF(AG37&gt;'Test de compensation'!$D$142,0,'Calculs détaillés'!AK36+(AK36*B36))</f>
        <v>1995.9793013622543</v>
      </c>
      <c r="AL37" s="57">
        <f>IF(AG37&gt;'Test de compensation'!$D$142,0,'Calculs détaillés'!AL36+(AL36*B36))</f>
        <v>13855.655447075751</v>
      </c>
      <c r="AM37" s="57">
        <v>0</v>
      </c>
      <c r="AN37" s="57">
        <f>IF(AG37&gt;'Test de compensation'!$D$142,0,AN36)</f>
        <v>435</v>
      </c>
      <c r="AO37" s="203" t="s">
        <v>107</v>
      </c>
      <c r="AP37" s="136" t="s">
        <v>107</v>
      </c>
      <c r="AQ37" s="276">
        <v>0</v>
      </c>
      <c r="AR37" s="203">
        <f t="shared" si="30"/>
        <v>13855.655447075751</v>
      </c>
      <c r="AS37" s="203">
        <f t="shared" si="29"/>
        <v>0</v>
      </c>
      <c r="AT37" s="135">
        <f t="shared" si="12"/>
        <v>0</v>
      </c>
      <c r="AU37" s="135">
        <f t="shared" si="27"/>
        <v>3629.760494070539</v>
      </c>
      <c r="AV37" s="283"/>
      <c r="AW37" s="142"/>
      <c r="AX37" s="43"/>
    </row>
    <row r="38" spans="1:50" ht="12.75">
      <c r="A38" s="44">
        <v>30</v>
      </c>
      <c r="B38" s="287">
        <f t="shared" si="0"/>
        <v>0.017</v>
      </c>
      <c r="C38" s="413">
        <f>IF(A38&gt;'Test de compensation'!$G$119,0,C37+(C37*B38))</f>
        <v>114677.23547921813</v>
      </c>
      <c r="D38" s="133">
        <v>0.03</v>
      </c>
      <c r="E38" s="417">
        <f t="shared" si="1"/>
        <v>-3440.317064376544</v>
      </c>
      <c r="F38" s="43">
        <f t="shared" si="13"/>
        <v>0</v>
      </c>
      <c r="G38" s="136">
        <f t="shared" si="2"/>
        <v>111236.91841484158</v>
      </c>
      <c r="H38" s="384">
        <f t="shared" si="3"/>
        <v>30</v>
      </c>
      <c r="I38" s="133">
        <f t="shared" si="4"/>
        <v>0.031</v>
      </c>
      <c r="J38" s="43">
        <f>IF(H38&gt;'Test de compensation'!$G$119,0,'Calculs détaillés'!J37)</f>
        <v>48237.83801833731</v>
      </c>
      <c r="K38" s="47">
        <f t="shared" si="14"/>
        <v>13759.802183260234</v>
      </c>
      <c r="L38" s="43">
        <f t="shared" si="5"/>
        <v>34478.03583507708</v>
      </c>
      <c r="M38" s="370">
        <f t="shared" si="15"/>
        <v>409386.55072170467</v>
      </c>
      <c r="N38" s="451">
        <f t="shared" si="16"/>
        <v>30</v>
      </c>
      <c r="O38" s="320">
        <f t="shared" si="17"/>
        <v>0.031</v>
      </c>
      <c r="P38" s="43">
        <f>IF(N38&gt;'Test de compensation'!$G$120,0,'Calculs détaillés'!P37)</f>
        <v>11992.899018836059</v>
      </c>
      <c r="Q38" s="47">
        <f t="shared" si="18"/>
        <v>5676.170589939871</v>
      </c>
      <c r="R38" s="43">
        <f t="shared" si="6"/>
        <v>6316.728428896187</v>
      </c>
      <c r="S38" s="370">
        <f t="shared" si="19"/>
        <v>176785.54866593835</v>
      </c>
      <c r="T38" s="451">
        <f t="shared" si="7"/>
        <v>30</v>
      </c>
      <c r="U38" s="320">
        <f t="shared" si="20"/>
        <v>0.01</v>
      </c>
      <c r="V38" s="43">
        <f>IF(T38&gt;'Test de compensation'!$G$121,0,'Calculs détaillés'!V37)</f>
        <v>0</v>
      </c>
      <c r="W38" s="43">
        <f t="shared" si="21"/>
        <v>1.989401921827013E-12</v>
      </c>
      <c r="X38" s="43">
        <f t="shared" si="8"/>
        <v>-1.989401921827013E-12</v>
      </c>
      <c r="Y38" s="370">
        <f t="shared" si="22"/>
        <v>2.009295941045283E-10</v>
      </c>
      <c r="Z38" s="451">
        <f t="shared" si="9"/>
        <v>30</v>
      </c>
      <c r="AA38" s="133">
        <f t="shared" si="28"/>
        <v>0.04</v>
      </c>
      <c r="AB38" s="43">
        <f>IF(Z38&gt;'Test de compensation'!$G$122,0,'Calculs détaillés'!AB37)</f>
        <v>0</v>
      </c>
      <c r="AC38" s="43">
        <f t="shared" si="23"/>
        <v>0</v>
      </c>
      <c r="AD38" s="43">
        <f t="shared" si="11"/>
        <v>0</v>
      </c>
      <c r="AE38" s="43">
        <f t="shared" si="24"/>
        <v>0</v>
      </c>
      <c r="AF38" s="136" t="s">
        <v>107</v>
      </c>
      <c r="AG38" s="467">
        <f t="shared" si="25"/>
        <v>30</v>
      </c>
      <c r="AH38" s="142">
        <v>0</v>
      </c>
      <c r="AI38" s="57">
        <f>IF(Z38&gt;'Test de compensation'!$D$142,0,AI37+(AI37*B37))</f>
        <v>0</v>
      </c>
      <c r="AJ38" s="57">
        <f>IF(AG38&gt;'Test de compensation'!$D$142,0,'Calculs détaillés'!AJ37+(AJ37*B37))</f>
        <v>30815.51561869421</v>
      </c>
      <c r="AK38" s="57">
        <f>IF(AG38&gt;'Test de compensation'!$D$142,0,'Calculs détaillés'!AK37+(AK37*B37))</f>
        <v>2029.9109494854126</v>
      </c>
      <c r="AL38" s="57">
        <f>IF(AG38&gt;'Test de compensation'!$D$142,0,'Calculs détaillés'!AL37+(AL37*B37))</f>
        <v>14091.201589676039</v>
      </c>
      <c r="AM38" s="57">
        <v>0</v>
      </c>
      <c r="AN38" s="57">
        <f>IF(AG38&gt;'Test de compensation'!$D$142,0,AN37)</f>
        <v>435</v>
      </c>
      <c r="AO38" s="203" t="s">
        <v>107</v>
      </c>
      <c r="AP38" s="136" t="s">
        <v>107</v>
      </c>
      <c r="AQ38" s="276">
        <v>0</v>
      </c>
      <c r="AR38" s="203">
        <f t="shared" si="30"/>
        <v>14091.201589676039</v>
      </c>
      <c r="AS38" s="203">
        <f t="shared" si="29"/>
        <v>0</v>
      </c>
      <c r="AT38" s="135">
        <f t="shared" si="12"/>
        <v>0</v>
      </c>
      <c r="AU38" s="135">
        <f t="shared" si="27"/>
        <v>3629.760494070539</v>
      </c>
      <c r="AV38" s="283"/>
      <c r="AW38" s="142"/>
      <c r="AX38" s="43"/>
    </row>
    <row r="39" spans="1:50" ht="12.75">
      <c r="A39" s="44">
        <v>31</v>
      </c>
      <c r="B39" s="287">
        <f t="shared" si="0"/>
        <v>0.017</v>
      </c>
      <c r="C39" s="413">
        <f>IF(A39&gt;'Test de compensation'!$G$119,0,C38+(C38*B39))</f>
        <v>116626.74848236484</v>
      </c>
      <c r="D39" s="133">
        <v>0.03</v>
      </c>
      <c r="E39" s="417">
        <f t="shared" si="1"/>
        <v>-3498.802454470945</v>
      </c>
      <c r="F39" s="43">
        <f t="shared" si="13"/>
        <v>0</v>
      </c>
      <c r="G39" s="136">
        <f t="shared" si="2"/>
        <v>113127.9460278939</v>
      </c>
      <c r="H39" s="384">
        <f t="shared" si="3"/>
        <v>31</v>
      </c>
      <c r="I39" s="133">
        <f t="shared" si="4"/>
        <v>0.031</v>
      </c>
      <c r="J39" s="43">
        <f>IF(H39&gt;'Test de compensation'!$G$119,0,'Calculs détaillés'!J38)</f>
        <v>48237.83801833731</v>
      </c>
      <c r="K39" s="47">
        <f t="shared" si="14"/>
        <v>12690.983072372845</v>
      </c>
      <c r="L39" s="43">
        <f t="shared" si="5"/>
        <v>35546.854945964464</v>
      </c>
      <c r="M39" s="370">
        <f t="shared" si="15"/>
        <v>373839.6957757402</v>
      </c>
      <c r="N39" s="451">
        <f t="shared" si="16"/>
        <v>31</v>
      </c>
      <c r="O39" s="320">
        <f t="shared" si="17"/>
        <v>0.031</v>
      </c>
      <c r="P39" s="43">
        <f>IF(N39&gt;'Test de compensation'!$G$120,0,'Calculs détaillés'!P38)</f>
        <v>11992.899018836059</v>
      </c>
      <c r="Q39" s="47">
        <f t="shared" si="18"/>
        <v>5480.3520086440885</v>
      </c>
      <c r="R39" s="43">
        <f t="shared" si="6"/>
        <v>6512.54701019197</v>
      </c>
      <c r="S39" s="370">
        <f t="shared" si="19"/>
        <v>170273.00165574637</v>
      </c>
      <c r="T39" s="451">
        <f t="shared" si="7"/>
        <v>31</v>
      </c>
      <c r="U39" s="320">
        <f t="shared" si="20"/>
        <v>0.01</v>
      </c>
      <c r="V39" s="43">
        <f>IF(T39&gt;'Test de compensation'!$G$121,0,'Calculs détaillés'!V38)</f>
        <v>0</v>
      </c>
      <c r="W39" s="43">
        <f t="shared" si="21"/>
        <v>2.0092959410452828E-12</v>
      </c>
      <c r="X39" s="43">
        <f t="shared" si="8"/>
        <v>-2.0092959410452828E-12</v>
      </c>
      <c r="Y39" s="370">
        <f t="shared" si="22"/>
        <v>2.0293889004557359E-10</v>
      </c>
      <c r="Z39" s="451">
        <f t="shared" si="9"/>
        <v>31</v>
      </c>
      <c r="AA39" s="133">
        <f t="shared" si="28"/>
        <v>0.04</v>
      </c>
      <c r="AB39" s="43">
        <f>IF(Z39&gt;'Test de compensation'!$G$122,0,'Calculs détaillés'!AB38)</f>
        <v>0</v>
      </c>
      <c r="AC39" s="43">
        <f t="shared" si="23"/>
        <v>0</v>
      </c>
      <c r="AD39" s="43">
        <f t="shared" si="11"/>
        <v>0</v>
      </c>
      <c r="AE39" s="43">
        <f t="shared" si="24"/>
        <v>0</v>
      </c>
      <c r="AF39" s="136" t="s">
        <v>107</v>
      </c>
      <c r="AG39" s="467">
        <f t="shared" si="25"/>
        <v>31</v>
      </c>
      <c r="AH39" s="142">
        <v>0</v>
      </c>
      <c r="AI39" s="57">
        <f>IF(Z39&gt;'Test de compensation'!$D$142,0,AI38+(AI38*B38))</f>
        <v>0</v>
      </c>
      <c r="AJ39" s="57">
        <f>IF(AG39&gt;'Test de compensation'!$D$142,0,'Calculs détaillés'!AJ38+(AJ38*B38))</f>
        <v>31339.379384212014</v>
      </c>
      <c r="AK39" s="57">
        <f>IF(AG39&gt;'Test de compensation'!$D$142,0,'Calculs détaillés'!AK38+(AK38*B38))</f>
        <v>2064.419435626665</v>
      </c>
      <c r="AL39" s="57">
        <f>IF(AG39&gt;'Test de compensation'!$D$142,0,'Calculs détaillés'!AL38+(AL38*B38))</f>
        <v>14330.752016700531</v>
      </c>
      <c r="AM39" s="57">
        <v>0</v>
      </c>
      <c r="AN39" s="57">
        <f>IF(AG39&gt;'Test de compensation'!$D$142,0,AN38)</f>
        <v>435</v>
      </c>
      <c r="AO39" s="203" t="s">
        <v>107</v>
      </c>
      <c r="AP39" s="136" t="s">
        <v>107</v>
      </c>
      <c r="AQ39" s="276">
        <v>0</v>
      </c>
      <c r="AR39" s="203">
        <f t="shared" si="30"/>
        <v>14330.752016700531</v>
      </c>
      <c r="AS39" s="203">
        <f t="shared" si="29"/>
        <v>0</v>
      </c>
      <c r="AT39" s="135">
        <f t="shared" si="12"/>
        <v>0</v>
      </c>
      <c r="AU39" s="135">
        <f t="shared" si="27"/>
        <v>3629.760494070539</v>
      </c>
      <c r="AV39" s="283"/>
      <c r="AW39" s="142"/>
      <c r="AX39" s="43"/>
    </row>
    <row r="40" spans="1:50" ht="12.75">
      <c r="A40" s="44">
        <v>32</v>
      </c>
      <c r="B40" s="287">
        <f t="shared" si="0"/>
        <v>0.017</v>
      </c>
      <c r="C40" s="413">
        <f>IF(A40&gt;'Test de compensation'!$G$119,0,C39+(C39*B40))</f>
        <v>118609.40320656504</v>
      </c>
      <c r="D40" s="133">
        <v>0.03</v>
      </c>
      <c r="E40" s="417">
        <f t="shared" si="1"/>
        <v>-3558.282096196951</v>
      </c>
      <c r="F40" s="43">
        <f t="shared" si="13"/>
        <v>0</v>
      </c>
      <c r="G40" s="136">
        <f t="shared" si="2"/>
        <v>115051.12111036808</v>
      </c>
      <c r="H40" s="384">
        <f t="shared" si="3"/>
        <v>32</v>
      </c>
      <c r="I40" s="133">
        <f t="shared" si="4"/>
        <v>0.031</v>
      </c>
      <c r="J40" s="43">
        <f>IF(H40&gt;'Test de compensation'!$G$119,0,'Calculs détaillés'!J39)</f>
        <v>48237.83801833731</v>
      </c>
      <c r="K40" s="47">
        <f t="shared" si="14"/>
        <v>11589.030569047945</v>
      </c>
      <c r="L40" s="43">
        <f t="shared" si="5"/>
        <v>36648.807449289365</v>
      </c>
      <c r="M40" s="370">
        <f t="shared" si="15"/>
        <v>337190.88832645083</v>
      </c>
      <c r="N40" s="451">
        <f t="shared" si="16"/>
        <v>32</v>
      </c>
      <c r="O40" s="320">
        <f t="shared" si="17"/>
        <v>0.031</v>
      </c>
      <c r="P40" s="43">
        <f>IF(N40&gt;'Test de compensation'!$G$120,0,'Calculs détaillés'!P39)</f>
        <v>11992.899018836059</v>
      </c>
      <c r="Q40" s="47">
        <f t="shared" si="18"/>
        <v>5278.463051328137</v>
      </c>
      <c r="R40" s="43">
        <f t="shared" si="6"/>
        <v>6714.435967507921</v>
      </c>
      <c r="S40" s="370">
        <f t="shared" si="19"/>
        <v>163558.56568823845</v>
      </c>
      <c r="T40" s="451">
        <f t="shared" si="7"/>
        <v>32</v>
      </c>
      <c r="U40" s="320">
        <f t="shared" si="20"/>
        <v>0.01</v>
      </c>
      <c r="V40" s="43">
        <f>IF(T40&gt;'Test de compensation'!$G$121,0,'Calculs détaillés'!V39)</f>
        <v>0</v>
      </c>
      <c r="W40" s="43">
        <f t="shared" si="21"/>
        <v>2.029388900455736E-12</v>
      </c>
      <c r="X40" s="43">
        <f t="shared" si="8"/>
        <v>-2.029388900455736E-12</v>
      </c>
      <c r="Y40" s="370">
        <f t="shared" si="22"/>
        <v>2.0496827894602932E-10</v>
      </c>
      <c r="Z40" s="451">
        <f t="shared" si="9"/>
        <v>32</v>
      </c>
      <c r="AA40" s="133">
        <f t="shared" si="28"/>
        <v>0.04</v>
      </c>
      <c r="AB40" s="43">
        <f>IF(Z40&gt;'Test de compensation'!$G$122,0,'Calculs détaillés'!AB39)</f>
        <v>0</v>
      </c>
      <c r="AC40" s="43">
        <f t="shared" si="23"/>
        <v>0</v>
      </c>
      <c r="AD40" s="43">
        <f t="shared" si="11"/>
        <v>0</v>
      </c>
      <c r="AE40" s="43">
        <f t="shared" si="24"/>
        <v>0</v>
      </c>
      <c r="AF40" s="136" t="s">
        <v>107</v>
      </c>
      <c r="AG40" s="467">
        <f t="shared" si="25"/>
        <v>32</v>
      </c>
      <c r="AH40" s="142">
        <v>0</v>
      </c>
      <c r="AI40" s="57">
        <f>IF(Z40&gt;'Test de compensation'!$D$142,0,AI39+(AI39*B39))</f>
        <v>0</v>
      </c>
      <c r="AJ40" s="57">
        <f>IF(AG40&gt;'Test de compensation'!$D$142,0,'Calculs détaillés'!AJ39+(AJ39*B39))</f>
        <v>31872.148833743617</v>
      </c>
      <c r="AK40" s="57">
        <f>IF(AG40&gt;'Test de compensation'!$D$142,0,'Calculs détaillés'!AK39+(AK39*B39))</f>
        <v>2099.5145660323183</v>
      </c>
      <c r="AL40" s="57">
        <f>IF(AG40&gt;'Test de compensation'!$D$142,0,'Calculs détaillés'!AL39+(AL39*B39))</f>
        <v>14574.37480098444</v>
      </c>
      <c r="AM40" s="57">
        <v>0</v>
      </c>
      <c r="AN40" s="57">
        <f>IF(AG40&gt;'Test de compensation'!$D$142,0,AN39)</f>
        <v>435</v>
      </c>
      <c r="AO40" s="203" t="s">
        <v>107</v>
      </c>
      <c r="AP40" s="136" t="s">
        <v>107</v>
      </c>
      <c r="AQ40" s="276">
        <v>0</v>
      </c>
      <c r="AR40" s="203">
        <f t="shared" si="30"/>
        <v>14574.37480098444</v>
      </c>
      <c r="AS40" s="203">
        <f t="shared" si="29"/>
        <v>0</v>
      </c>
      <c r="AT40" s="135">
        <f t="shared" si="12"/>
        <v>0</v>
      </c>
      <c r="AU40" s="135">
        <f t="shared" si="27"/>
        <v>3629.760494070539</v>
      </c>
      <c r="AV40" s="283"/>
      <c r="AW40" s="142"/>
      <c r="AX40" s="43"/>
    </row>
    <row r="41" spans="1:50" ht="12.75">
      <c r="A41" s="44">
        <v>33</v>
      </c>
      <c r="B41" s="287">
        <f t="shared" si="0"/>
        <v>0.017</v>
      </c>
      <c r="C41" s="413">
        <f>IF(A41&gt;'Test de compensation'!$G$119,0,C40+(C40*B41))</f>
        <v>120625.76306107665</v>
      </c>
      <c r="D41" s="133">
        <v>0.03</v>
      </c>
      <c r="E41" s="417">
        <f t="shared" si="1"/>
        <v>-3618.7728918322996</v>
      </c>
      <c r="F41" s="43">
        <f t="shared" si="13"/>
        <v>0</v>
      </c>
      <c r="G41" s="136">
        <f t="shared" si="2"/>
        <v>117006.99016924435</v>
      </c>
      <c r="H41" s="384">
        <f t="shared" si="3"/>
        <v>33</v>
      </c>
      <c r="I41" s="133">
        <f t="shared" si="4"/>
        <v>0.031</v>
      </c>
      <c r="J41" s="43">
        <f>IF(H41&gt;'Test de compensation'!$G$119,0,'Calculs détaillés'!J40)</f>
        <v>48237.83801833731</v>
      </c>
      <c r="K41" s="47">
        <f t="shared" si="14"/>
        <v>10452.917538119977</v>
      </c>
      <c r="L41" s="43">
        <f t="shared" si="5"/>
        <v>37784.92048021733</v>
      </c>
      <c r="M41" s="370">
        <f t="shared" si="15"/>
        <v>299405.9678462335</v>
      </c>
      <c r="N41" s="451">
        <f t="shared" si="16"/>
        <v>33</v>
      </c>
      <c r="O41" s="320">
        <f t="shared" si="17"/>
        <v>0.031</v>
      </c>
      <c r="P41" s="43">
        <f>IF(N41&gt;'Test de compensation'!$G$120,0,'Calculs détaillés'!P40)</f>
        <v>11992.899018836059</v>
      </c>
      <c r="Q41" s="47">
        <f t="shared" si="18"/>
        <v>5070.315536335392</v>
      </c>
      <c r="R41" s="43">
        <f t="shared" si="6"/>
        <v>6922.583482500667</v>
      </c>
      <c r="S41" s="370">
        <f t="shared" si="19"/>
        <v>156635.9822057378</v>
      </c>
      <c r="T41" s="451">
        <f t="shared" si="7"/>
        <v>33</v>
      </c>
      <c r="U41" s="320">
        <f t="shared" si="20"/>
        <v>0.01</v>
      </c>
      <c r="V41" s="43">
        <f>IF(T41&gt;'Test de compensation'!$G$121,0,'Calculs détaillés'!V40)</f>
        <v>0</v>
      </c>
      <c r="W41" s="43">
        <f t="shared" si="21"/>
        <v>2.0496827894602934E-12</v>
      </c>
      <c r="X41" s="43">
        <f t="shared" si="8"/>
        <v>-2.0496827894602934E-12</v>
      </c>
      <c r="Y41" s="370">
        <f t="shared" si="22"/>
        <v>2.070179617354896E-10</v>
      </c>
      <c r="Z41" s="451">
        <f t="shared" si="9"/>
        <v>33</v>
      </c>
      <c r="AA41" s="133">
        <f t="shared" si="28"/>
        <v>0.04</v>
      </c>
      <c r="AB41" s="43">
        <f>IF(Z41&gt;'Test de compensation'!$G$122,0,'Calculs détaillés'!AB40)</f>
        <v>0</v>
      </c>
      <c r="AC41" s="43">
        <f t="shared" si="23"/>
        <v>0</v>
      </c>
      <c r="AD41" s="43">
        <f t="shared" si="11"/>
        <v>0</v>
      </c>
      <c r="AE41" s="43">
        <f t="shared" si="24"/>
        <v>0</v>
      </c>
      <c r="AF41" s="136" t="s">
        <v>107</v>
      </c>
      <c r="AG41" s="467">
        <f t="shared" si="25"/>
        <v>33</v>
      </c>
      <c r="AH41" s="142">
        <v>0</v>
      </c>
      <c r="AI41" s="57">
        <f>IF(Z41&gt;'Test de compensation'!$D$142,0,AI40+(AI40*B40))</f>
        <v>0</v>
      </c>
      <c r="AJ41" s="57">
        <f>IF(AG41&gt;'Test de compensation'!$D$142,0,'Calculs détaillés'!AJ40+(AJ40*B40))</f>
        <v>32413.97536391726</v>
      </c>
      <c r="AK41" s="57">
        <f>IF(AG41&gt;'Test de compensation'!$D$142,0,'Calculs détaillés'!AK40+(AK40*B40))</f>
        <v>2135.2063136548677</v>
      </c>
      <c r="AL41" s="57">
        <f>IF(AG41&gt;'Test de compensation'!$D$142,0,'Calculs détaillés'!AL40+(AL40*B40))</f>
        <v>14822.139172601175</v>
      </c>
      <c r="AM41" s="57">
        <v>0</v>
      </c>
      <c r="AN41" s="57">
        <f>IF(AG41&gt;'Test de compensation'!$D$142,0,AN40)</f>
        <v>435</v>
      </c>
      <c r="AO41" s="203" t="s">
        <v>107</v>
      </c>
      <c r="AP41" s="136" t="s">
        <v>107</v>
      </c>
      <c r="AQ41" s="276">
        <v>0</v>
      </c>
      <c r="AR41" s="203">
        <f t="shared" si="30"/>
        <v>14822.139172601175</v>
      </c>
      <c r="AS41" s="203">
        <f t="shared" si="29"/>
        <v>0</v>
      </c>
      <c r="AT41" s="135">
        <f t="shared" si="12"/>
        <v>0</v>
      </c>
      <c r="AU41" s="135">
        <f t="shared" si="27"/>
        <v>3629.760494070539</v>
      </c>
      <c r="AV41" s="283"/>
      <c r="AW41" s="142"/>
      <c r="AX41" s="43"/>
    </row>
    <row r="42" spans="1:50" ht="12.75">
      <c r="A42" s="44">
        <v>34</v>
      </c>
      <c r="B42" s="287">
        <f aca="true" t="shared" si="31" ref="B42:B58">B41</f>
        <v>0.017</v>
      </c>
      <c r="C42" s="413">
        <f>IF(A42&gt;'Test de compensation'!$G$119,0,C41+(C41*B42))</f>
        <v>122676.40103311495</v>
      </c>
      <c r="D42" s="133">
        <v>0.03</v>
      </c>
      <c r="E42" s="417">
        <f t="shared" si="1"/>
        <v>-3680.2920309934484</v>
      </c>
      <c r="F42" s="43">
        <f t="shared" si="13"/>
        <v>0</v>
      </c>
      <c r="G42" s="136">
        <f t="shared" si="2"/>
        <v>118996.1090021215</v>
      </c>
      <c r="H42" s="384">
        <f t="shared" si="3"/>
        <v>34</v>
      </c>
      <c r="I42" s="133">
        <f t="shared" si="4"/>
        <v>0.031</v>
      </c>
      <c r="J42" s="43">
        <f>IF(H42&gt;'Test de compensation'!$G$119,0,'Calculs détaillés'!J41)</f>
        <v>48237.83801833731</v>
      </c>
      <c r="K42" s="47">
        <f t="shared" si="14"/>
        <v>9281.585003233238</v>
      </c>
      <c r="L42" s="43">
        <f t="shared" si="5"/>
        <v>38956.25301510407</v>
      </c>
      <c r="M42" s="370">
        <f t="shared" si="15"/>
        <v>260449.71483112944</v>
      </c>
      <c r="N42" s="451">
        <f t="shared" si="16"/>
        <v>34</v>
      </c>
      <c r="O42" s="320">
        <f t="shared" si="17"/>
        <v>0.031</v>
      </c>
      <c r="P42" s="43">
        <f>IF(N42&gt;'Test de compensation'!$G$120,0,'Calculs détaillés'!P41)</f>
        <v>11992.899018836059</v>
      </c>
      <c r="Q42" s="47">
        <f t="shared" si="18"/>
        <v>4855.715448377871</v>
      </c>
      <c r="R42" s="43">
        <f t="shared" si="6"/>
        <v>7137.183570458187</v>
      </c>
      <c r="S42" s="370">
        <f t="shared" si="19"/>
        <v>149498.7986352796</v>
      </c>
      <c r="T42" s="451">
        <f t="shared" si="7"/>
        <v>34</v>
      </c>
      <c r="U42" s="320">
        <f t="shared" si="20"/>
        <v>0.01</v>
      </c>
      <c r="V42" s="43">
        <f>IF(T42&gt;'Test de compensation'!$G$121,0,'Calculs détaillés'!V41)</f>
        <v>0</v>
      </c>
      <c r="W42" s="43">
        <f t="shared" si="21"/>
        <v>2.070179617354896E-12</v>
      </c>
      <c r="X42" s="43">
        <f t="shared" si="8"/>
        <v>-2.070179617354896E-12</v>
      </c>
      <c r="Y42" s="370">
        <f t="shared" si="22"/>
        <v>2.0908814135284452E-10</v>
      </c>
      <c r="Z42" s="451">
        <f t="shared" si="9"/>
        <v>34</v>
      </c>
      <c r="AA42" s="133">
        <f t="shared" si="28"/>
        <v>0.04</v>
      </c>
      <c r="AB42" s="43">
        <f>IF(Z42&gt;'Test de compensation'!$G$122,0,'Calculs détaillés'!AB41)</f>
        <v>0</v>
      </c>
      <c r="AC42" s="43">
        <f t="shared" si="23"/>
        <v>0</v>
      </c>
      <c r="AD42" s="43">
        <f t="shared" si="11"/>
        <v>0</v>
      </c>
      <c r="AE42" s="43">
        <f t="shared" si="24"/>
        <v>0</v>
      </c>
      <c r="AF42" s="136" t="s">
        <v>107</v>
      </c>
      <c r="AG42" s="467">
        <f t="shared" si="25"/>
        <v>34</v>
      </c>
      <c r="AH42" s="142">
        <v>0</v>
      </c>
      <c r="AI42" s="57">
        <f>IF(Z42&gt;'Test de compensation'!$D$142,0,AI41+(AI41*B41))</f>
        <v>0</v>
      </c>
      <c r="AJ42" s="57">
        <f>IF(AG42&gt;'Test de compensation'!$D$142,0,'Calculs détaillés'!AJ41+(AJ41*B41))</f>
        <v>32965.01294510385</v>
      </c>
      <c r="AK42" s="57">
        <f>IF(AG42&gt;'Test de compensation'!$D$142,0,'Calculs détaillés'!AK41+(AK41*B41))</f>
        <v>2171.5048209870006</v>
      </c>
      <c r="AL42" s="57">
        <f>IF(AG42&gt;'Test de compensation'!$D$142,0,'Calculs détaillés'!AL41+(AL41*B41))</f>
        <v>15074.115538535396</v>
      </c>
      <c r="AM42" s="57">
        <v>0</v>
      </c>
      <c r="AN42" s="57">
        <f>IF(AG42&gt;'Test de compensation'!$D$142,0,AN41)</f>
        <v>435</v>
      </c>
      <c r="AO42" s="203" t="s">
        <v>107</v>
      </c>
      <c r="AP42" s="136" t="s">
        <v>107</v>
      </c>
      <c r="AQ42" s="276">
        <v>0</v>
      </c>
      <c r="AR42" s="203">
        <f t="shared" si="30"/>
        <v>15074.115538535396</v>
      </c>
      <c r="AS42" s="203">
        <f t="shared" si="29"/>
        <v>0</v>
      </c>
      <c r="AT42" s="135">
        <f t="shared" si="12"/>
        <v>0</v>
      </c>
      <c r="AU42" s="135">
        <f t="shared" si="27"/>
        <v>3629.760494070539</v>
      </c>
      <c r="AV42" s="283"/>
      <c r="AW42" s="142"/>
      <c r="AX42" s="43"/>
    </row>
    <row r="43" spans="1:50" ht="12.75">
      <c r="A43" s="44">
        <v>35</v>
      </c>
      <c r="B43" s="287">
        <f t="shared" si="31"/>
        <v>0.017</v>
      </c>
      <c r="C43" s="413">
        <f>IF(A43&gt;'Test de compensation'!$G$119,0,C42+(C42*B43))</f>
        <v>124761.8998506779</v>
      </c>
      <c r="D43" s="133">
        <v>0.03</v>
      </c>
      <c r="E43" s="417">
        <f t="shared" si="1"/>
        <v>-3742.856995520337</v>
      </c>
      <c r="F43" s="43">
        <f t="shared" si="13"/>
        <v>0</v>
      </c>
      <c r="G43" s="136">
        <f t="shared" si="2"/>
        <v>121019.04285515756</v>
      </c>
      <c r="H43" s="384">
        <f t="shared" si="3"/>
        <v>35</v>
      </c>
      <c r="I43" s="133">
        <f t="shared" si="4"/>
        <v>0.031</v>
      </c>
      <c r="J43" s="43">
        <f>IF(H43&gt;'Test de compensation'!$G$119,0,'Calculs détaillés'!J42)</f>
        <v>48237.83801833731</v>
      </c>
      <c r="K43" s="47">
        <f t="shared" si="14"/>
        <v>8073.941159765012</v>
      </c>
      <c r="L43" s="43">
        <f t="shared" si="5"/>
        <v>40163.8968585723</v>
      </c>
      <c r="M43" s="370">
        <f t="shared" si="15"/>
        <v>220285.81797255715</v>
      </c>
      <c r="N43" s="451">
        <f t="shared" si="16"/>
        <v>35</v>
      </c>
      <c r="O43" s="320">
        <f t="shared" si="17"/>
        <v>0.031</v>
      </c>
      <c r="P43" s="43">
        <f>IF(N43&gt;'Test de compensation'!$G$120,0,'Calculs détaillés'!P42)</f>
        <v>11992.899018836059</v>
      </c>
      <c r="Q43" s="47">
        <f t="shared" si="18"/>
        <v>4634.462757693668</v>
      </c>
      <c r="R43" s="43">
        <f t="shared" si="6"/>
        <v>7358.43626114239</v>
      </c>
      <c r="S43" s="370">
        <f t="shared" si="19"/>
        <v>142140.3623741372</v>
      </c>
      <c r="T43" s="451">
        <f t="shared" si="7"/>
        <v>35</v>
      </c>
      <c r="U43" s="320">
        <f t="shared" si="20"/>
        <v>0.01</v>
      </c>
      <c r="V43" s="43">
        <f>IF(T43&gt;'Test de compensation'!$G$121,0,'Calculs détaillés'!V42)</f>
        <v>0</v>
      </c>
      <c r="W43" s="43">
        <f t="shared" si="21"/>
        <v>2.0908814135284453E-12</v>
      </c>
      <c r="X43" s="43">
        <f t="shared" si="8"/>
        <v>-2.0908814135284453E-12</v>
      </c>
      <c r="Y43" s="370">
        <f t="shared" si="22"/>
        <v>2.1117902276637297E-10</v>
      </c>
      <c r="Z43" s="451">
        <f t="shared" si="9"/>
        <v>35</v>
      </c>
      <c r="AA43" s="133">
        <f t="shared" si="28"/>
        <v>0.04</v>
      </c>
      <c r="AB43" s="43">
        <f>IF(Z43&gt;'Test de compensation'!$G$122,0,'Calculs détaillés'!AB42)</f>
        <v>0</v>
      </c>
      <c r="AC43" s="43">
        <f t="shared" si="23"/>
        <v>0</v>
      </c>
      <c r="AD43" s="43">
        <f t="shared" si="11"/>
        <v>0</v>
      </c>
      <c r="AE43" s="43">
        <f t="shared" si="24"/>
        <v>0</v>
      </c>
      <c r="AF43" s="136" t="s">
        <v>107</v>
      </c>
      <c r="AG43" s="467">
        <f t="shared" si="25"/>
        <v>35</v>
      </c>
      <c r="AH43" s="142">
        <v>0</v>
      </c>
      <c r="AI43" s="57">
        <f>IF(Z43&gt;'Test de compensation'!$D$142,0,AI42+(AI42*B42))</f>
        <v>0</v>
      </c>
      <c r="AJ43" s="57">
        <f>IF(AG43&gt;'Test de compensation'!$D$142,0,'Calculs détaillés'!AJ42+(AJ42*B42))</f>
        <v>33525.41816517062</v>
      </c>
      <c r="AK43" s="57">
        <f>IF(AG43&gt;'Test de compensation'!$D$142,0,'Calculs détaillés'!AK42+(AK42*B42))</f>
        <v>2208.4204029437797</v>
      </c>
      <c r="AL43" s="57">
        <f>IF(AG43&gt;'Test de compensation'!$D$142,0,'Calculs détaillés'!AL42+(AL42*B42))</f>
        <v>15330.375502690498</v>
      </c>
      <c r="AM43" s="57">
        <v>0</v>
      </c>
      <c r="AN43" s="57">
        <f>IF(AG43&gt;'Test de compensation'!$D$142,0,AN42)</f>
        <v>435</v>
      </c>
      <c r="AO43" s="203" t="s">
        <v>107</v>
      </c>
      <c r="AP43" s="136" t="s">
        <v>107</v>
      </c>
      <c r="AQ43" s="276">
        <v>0</v>
      </c>
      <c r="AR43" s="203">
        <f t="shared" si="30"/>
        <v>15330.375502690498</v>
      </c>
      <c r="AS43" s="203">
        <f t="shared" si="29"/>
        <v>0</v>
      </c>
      <c r="AT43" s="135">
        <f t="shared" si="12"/>
        <v>0</v>
      </c>
      <c r="AU43" s="135">
        <f t="shared" si="27"/>
        <v>3629.760494070539</v>
      </c>
      <c r="AV43" s="283"/>
      <c r="AW43" s="142"/>
      <c r="AX43" s="43"/>
    </row>
    <row r="44" spans="1:50" ht="12.75">
      <c r="A44" s="44">
        <v>36</v>
      </c>
      <c r="B44" s="287">
        <f t="shared" si="31"/>
        <v>0.017</v>
      </c>
      <c r="C44" s="413">
        <f>IF(A44&gt;'Test de compensation'!$G$119,0,C43+(C43*B44))</f>
        <v>126882.85214813943</v>
      </c>
      <c r="D44" s="133">
        <v>0.03</v>
      </c>
      <c r="E44" s="417">
        <f t="shared" si="1"/>
        <v>-3806.4855644441827</v>
      </c>
      <c r="F44" s="43">
        <f t="shared" si="13"/>
        <v>0</v>
      </c>
      <c r="G44" s="136">
        <f t="shared" si="2"/>
        <v>123076.36658369524</v>
      </c>
      <c r="H44" s="384">
        <f t="shared" si="3"/>
        <v>36</v>
      </c>
      <c r="I44" s="133">
        <f t="shared" si="4"/>
        <v>0.031</v>
      </c>
      <c r="J44" s="43">
        <f>IF(H44&gt;'Test de compensation'!$G$119,0,'Calculs détaillés'!J43)</f>
        <v>48237.83801833731</v>
      </c>
      <c r="K44" s="47">
        <f t="shared" si="14"/>
        <v>6828.860357149271</v>
      </c>
      <c r="L44" s="43">
        <f t="shared" si="5"/>
        <v>41408.97766118804</v>
      </c>
      <c r="M44" s="370">
        <f t="shared" si="15"/>
        <v>178876.8403113691</v>
      </c>
      <c r="N44" s="451">
        <f t="shared" si="16"/>
        <v>36</v>
      </c>
      <c r="O44" s="320">
        <f t="shared" si="17"/>
        <v>0.031</v>
      </c>
      <c r="P44" s="43">
        <f>IF(N44&gt;'Test de compensation'!$G$120,0,'Calculs détaillés'!P43)</f>
        <v>11992.899018836059</v>
      </c>
      <c r="Q44" s="47">
        <f t="shared" si="18"/>
        <v>4406.351233598253</v>
      </c>
      <c r="R44" s="43">
        <f t="shared" si="6"/>
        <v>7586.547785237805</v>
      </c>
      <c r="S44" s="370">
        <f t="shared" si="19"/>
        <v>134553.8145888994</v>
      </c>
      <c r="T44" s="451">
        <f t="shared" si="7"/>
        <v>36</v>
      </c>
      <c r="U44" s="320">
        <f t="shared" si="20"/>
        <v>0.01</v>
      </c>
      <c r="V44" s="43">
        <f>IF(T44&gt;'Test de compensation'!$G$121,0,'Calculs détaillés'!V43)</f>
        <v>0</v>
      </c>
      <c r="W44" s="43">
        <f t="shared" si="21"/>
        <v>2.1117902276637295E-12</v>
      </c>
      <c r="X44" s="43">
        <f t="shared" si="8"/>
        <v>-2.1117902276637295E-12</v>
      </c>
      <c r="Y44" s="370">
        <f t="shared" si="22"/>
        <v>2.132908129940367E-10</v>
      </c>
      <c r="Z44" s="451">
        <f t="shared" si="9"/>
        <v>36</v>
      </c>
      <c r="AA44" s="133">
        <f t="shared" si="28"/>
        <v>0.04</v>
      </c>
      <c r="AB44" s="43">
        <f>IF(Z44&gt;'Test de compensation'!$G$122,0,'Calculs détaillés'!AB43)</f>
        <v>0</v>
      </c>
      <c r="AC44" s="43">
        <f t="shared" si="23"/>
        <v>0</v>
      </c>
      <c r="AD44" s="43">
        <f t="shared" si="11"/>
        <v>0</v>
      </c>
      <c r="AE44" s="43">
        <f t="shared" si="24"/>
        <v>0</v>
      </c>
      <c r="AF44" s="136" t="s">
        <v>107</v>
      </c>
      <c r="AG44" s="467">
        <f t="shared" si="25"/>
        <v>36</v>
      </c>
      <c r="AH44" s="142">
        <v>0</v>
      </c>
      <c r="AI44" s="57">
        <f>IF(Z44&gt;'Test de compensation'!$D$142,0,AI43+(AI43*B43))</f>
        <v>0</v>
      </c>
      <c r="AJ44" s="57">
        <f>IF(AG44&gt;'Test de compensation'!$D$142,0,'Calculs détaillés'!AJ43+(AJ43*B43))</f>
        <v>34095.35027397852</v>
      </c>
      <c r="AK44" s="57">
        <f>IF(AG44&gt;'Test de compensation'!$D$142,0,'Calculs détaillés'!AK43+(AK43*B43))</f>
        <v>2245.963549793824</v>
      </c>
      <c r="AL44" s="57">
        <f>IF(AG44&gt;'Test de compensation'!$D$142,0,'Calculs détaillés'!AL43+(AL43*B43))</f>
        <v>15590.991886236237</v>
      </c>
      <c r="AM44" s="57">
        <v>0</v>
      </c>
      <c r="AN44" s="57">
        <f>IF(AG44&gt;'Test de compensation'!$D$142,0,AN43)</f>
        <v>435</v>
      </c>
      <c r="AO44" s="203" t="s">
        <v>107</v>
      </c>
      <c r="AP44" s="136" t="s">
        <v>107</v>
      </c>
      <c r="AQ44" s="276">
        <v>0</v>
      </c>
      <c r="AR44" s="203">
        <f t="shared" si="30"/>
        <v>15590.991886236237</v>
      </c>
      <c r="AS44" s="203">
        <f t="shared" si="29"/>
        <v>0</v>
      </c>
      <c r="AT44" s="135">
        <f t="shared" si="12"/>
        <v>0</v>
      </c>
      <c r="AU44" s="135">
        <f t="shared" si="27"/>
        <v>3629.760494070539</v>
      </c>
      <c r="AV44" s="283"/>
      <c r="AW44" s="142"/>
      <c r="AX44" s="43"/>
    </row>
    <row r="45" spans="1:50" ht="12.75">
      <c r="A45" s="44">
        <v>37</v>
      </c>
      <c r="B45" s="287">
        <f t="shared" si="31"/>
        <v>0.017</v>
      </c>
      <c r="C45" s="413">
        <f>IF(A45&gt;'Test de compensation'!$G$119,0,C44+(C44*B45))</f>
        <v>129039.8606346578</v>
      </c>
      <c r="D45" s="133">
        <v>0.03</v>
      </c>
      <c r="E45" s="417">
        <f t="shared" si="1"/>
        <v>-3871.195819039734</v>
      </c>
      <c r="F45" s="43">
        <f t="shared" si="13"/>
        <v>0</v>
      </c>
      <c r="G45" s="136">
        <f t="shared" si="2"/>
        <v>125168.66481561807</v>
      </c>
      <c r="H45" s="384">
        <f t="shared" si="3"/>
        <v>37</v>
      </c>
      <c r="I45" s="133">
        <f t="shared" si="4"/>
        <v>0.031</v>
      </c>
      <c r="J45" s="43">
        <f>IF(H45&gt;'Test de compensation'!$G$119,0,'Calculs détaillés'!J44)</f>
        <v>48237.83801833731</v>
      </c>
      <c r="K45" s="47">
        <f t="shared" si="14"/>
        <v>5545.182049652442</v>
      </c>
      <c r="L45" s="43">
        <f t="shared" si="5"/>
        <v>42692.65596868486</v>
      </c>
      <c r="M45" s="370">
        <f t="shared" si="15"/>
        <v>136184.18434268422</v>
      </c>
      <c r="N45" s="451">
        <f t="shared" si="16"/>
        <v>37</v>
      </c>
      <c r="O45" s="320">
        <f t="shared" si="17"/>
        <v>0.031</v>
      </c>
      <c r="P45" s="43">
        <f>IF(N45&gt;'Test de compensation'!$G$120,0,'Calculs détaillés'!P44)</f>
        <v>11992.899018836059</v>
      </c>
      <c r="Q45" s="47">
        <f t="shared" si="18"/>
        <v>4171.168252255881</v>
      </c>
      <c r="R45" s="43">
        <f t="shared" si="6"/>
        <v>7821.730766580177</v>
      </c>
      <c r="S45" s="370">
        <f t="shared" si="19"/>
        <v>126732.08382231923</v>
      </c>
      <c r="T45" s="451">
        <f t="shared" si="7"/>
        <v>37</v>
      </c>
      <c r="U45" s="320">
        <f t="shared" si="20"/>
        <v>0.01</v>
      </c>
      <c r="V45" s="43">
        <f>IF(T45&gt;'Test de compensation'!$G$121,0,'Calculs détaillés'!V44)</f>
        <v>0</v>
      </c>
      <c r="W45" s="43">
        <f t="shared" si="21"/>
        <v>2.132908129940367E-12</v>
      </c>
      <c r="X45" s="43">
        <f t="shared" si="8"/>
        <v>-2.132908129940367E-12</v>
      </c>
      <c r="Y45" s="370">
        <f t="shared" si="22"/>
        <v>2.1542372112397707E-10</v>
      </c>
      <c r="Z45" s="451">
        <f t="shared" si="9"/>
        <v>37</v>
      </c>
      <c r="AA45" s="133">
        <f t="shared" si="28"/>
        <v>0.04</v>
      </c>
      <c r="AB45" s="43">
        <f>IF(Z45&gt;'Test de compensation'!$G$122,0,'Calculs détaillés'!AB44)</f>
        <v>0</v>
      </c>
      <c r="AC45" s="43">
        <f t="shared" si="23"/>
        <v>0</v>
      </c>
      <c r="AD45" s="43">
        <f t="shared" si="11"/>
        <v>0</v>
      </c>
      <c r="AE45" s="43">
        <f t="shared" si="24"/>
        <v>0</v>
      </c>
      <c r="AF45" s="136" t="s">
        <v>107</v>
      </c>
      <c r="AG45" s="467">
        <f t="shared" si="25"/>
        <v>37</v>
      </c>
      <c r="AH45" s="142">
        <v>0</v>
      </c>
      <c r="AI45" s="57">
        <f>IF(Z45&gt;'Test de compensation'!$D$142,0,AI44+(AI44*B44))</f>
        <v>0</v>
      </c>
      <c r="AJ45" s="57">
        <f>IF(AG45&gt;'Test de compensation'!$D$142,0,'Calculs détaillés'!AJ44+(AJ44*B44))</f>
        <v>34674.971228636154</v>
      </c>
      <c r="AK45" s="57">
        <f>IF(AG45&gt;'Test de compensation'!$D$142,0,'Calculs détaillés'!AK44+(AK44*B44))</f>
        <v>2284.144930140319</v>
      </c>
      <c r="AL45" s="57">
        <f>IF(AG45&gt;'Test de compensation'!$D$142,0,'Calculs détaillés'!AL44+(AL44*B44))</f>
        <v>15856.038748302253</v>
      </c>
      <c r="AM45" s="57">
        <v>0</v>
      </c>
      <c r="AN45" s="57">
        <f>IF(AG45&gt;'Test de compensation'!$D$142,0,AN44)</f>
        <v>435</v>
      </c>
      <c r="AO45" s="203" t="s">
        <v>107</v>
      </c>
      <c r="AP45" s="136" t="s">
        <v>107</v>
      </c>
      <c r="AQ45" s="276">
        <v>0</v>
      </c>
      <c r="AR45" s="203">
        <f t="shared" si="30"/>
        <v>15856.038748302253</v>
      </c>
      <c r="AS45" s="203">
        <f t="shared" si="29"/>
        <v>0</v>
      </c>
      <c r="AT45" s="135">
        <f t="shared" si="12"/>
        <v>0</v>
      </c>
      <c r="AU45" s="135">
        <f t="shared" si="27"/>
        <v>3629.760494070539</v>
      </c>
      <c r="AV45" s="283"/>
      <c r="AW45" s="142"/>
      <c r="AX45" s="43"/>
    </row>
    <row r="46" spans="1:50" ht="12.75">
      <c r="A46" s="44">
        <v>38</v>
      </c>
      <c r="B46" s="287">
        <f t="shared" si="31"/>
        <v>0.017</v>
      </c>
      <c r="C46" s="413">
        <f>IF(A46&gt;'Test de compensation'!$G$119,0,C45+(C45*B46))</f>
        <v>131233.538265447</v>
      </c>
      <c r="D46" s="133">
        <v>0.03</v>
      </c>
      <c r="E46" s="417">
        <f t="shared" si="1"/>
        <v>-3937.0061479634096</v>
      </c>
      <c r="F46" s="43">
        <f t="shared" si="13"/>
        <v>0</v>
      </c>
      <c r="G46" s="136">
        <f t="shared" si="2"/>
        <v>127296.53211748358</v>
      </c>
      <c r="H46" s="384">
        <f t="shared" si="3"/>
        <v>38</v>
      </c>
      <c r="I46" s="133">
        <f t="shared" si="4"/>
        <v>0.031</v>
      </c>
      <c r="J46" s="43">
        <f>IF(H46&gt;'Test de compensation'!$G$119,0,'Calculs détaillés'!J45)</f>
        <v>48237.83801833731</v>
      </c>
      <c r="K46" s="47">
        <f t="shared" si="14"/>
        <v>4221.709714623211</v>
      </c>
      <c r="L46" s="43">
        <f t="shared" si="5"/>
        <v>44016.1283037141</v>
      </c>
      <c r="M46" s="370">
        <f t="shared" si="15"/>
        <v>92168.05603897013</v>
      </c>
      <c r="N46" s="451">
        <f t="shared" si="16"/>
        <v>38</v>
      </c>
      <c r="O46" s="320">
        <f t="shared" si="17"/>
        <v>0.031</v>
      </c>
      <c r="P46" s="43">
        <f>IF(N46&gt;'Test de compensation'!$G$120,0,'Calculs détaillés'!P45)</f>
        <v>11992.899018836059</v>
      </c>
      <c r="Q46" s="47">
        <f t="shared" si="18"/>
        <v>3928.694598491896</v>
      </c>
      <c r="R46" s="43">
        <f t="shared" si="6"/>
        <v>8064.204420344162</v>
      </c>
      <c r="S46" s="370">
        <f t="shared" si="19"/>
        <v>118667.87940197506</v>
      </c>
      <c r="T46" s="451">
        <f t="shared" si="7"/>
        <v>38</v>
      </c>
      <c r="U46" s="320">
        <f t="shared" si="20"/>
        <v>0.01</v>
      </c>
      <c r="V46" s="43">
        <f>IF(T46&gt;'Test de compensation'!$G$121,0,'Calculs détaillés'!V45)</f>
        <v>0</v>
      </c>
      <c r="W46" s="43">
        <f t="shared" si="21"/>
        <v>2.154237211239771E-12</v>
      </c>
      <c r="X46" s="43">
        <f t="shared" si="8"/>
        <v>-2.154237211239771E-12</v>
      </c>
      <c r="Y46" s="370">
        <f t="shared" si="22"/>
        <v>2.1757795833521684E-10</v>
      </c>
      <c r="Z46" s="451">
        <f t="shared" si="9"/>
        <v>38</v>
      </c>
      <c r="AA46" s="133">
        <f t="shared" si="28"/>
        <v>0.04</v>
      </c>
      <c r="AB46" s="43">
        <f>IF(Z46&gt;'Test de compensation'!$G$122,0,'Calculs détaillés'!AB45)</f>
        <v>0</v>
      </c>
      <c r="AC46" s="43">
        <f t="shared" si="23"/>
        <v>0</v>
      </c>
      <c r="AD46" s="43">
        <f t="shared" si="11"/>
        <v>0</v>
      </c>
      <c r="AE46" s="43">
        <f t="shared" si="24"/>
        <v>0</v>
      </c>
      <c r="AF46" s="136" t="s">
        <v>107</v>
      </c>
      <c r="AG46" s="467">
        <f t="shared" si="25"/>
        <v>38</v>
      </c>
      <c r="AH46" s="142">
        <v>0</v>
      </c>
      <c r="AI46" s="57">
        <f>IF(Z46&gt;'Test de compensation'!$D$142,0,AI45+(AI45*B45))</f>
        <v>0</v>
      </c>
      <c r="AJ46" s="57">
        <f>IF(AG46&gt;'Test de compensation'!$D$142,0,'Calculs détaillés'!AJ45+(AJ45*B45))</f>
        <v>35264.44573952297</v>
      </c>
      <c r="AK46" s="57">
        <f>IF(AG46&gt;'Test de compensation'!$D$142,0,'Calculs détaillés'!AK45+(AK45*B45))</f>
        <v>2322.9753939527045</v>
      </c>
      <c r="AL46" s="57">
        <f>IF(AG46&gt;'Test de compensation'!$D$142,0,'Calculs détaillés'!AL45+(AL45*B45))</f>
        <v>16125.591407023392</v>
      </c>
      <c r="AM46" s="57">
        <v>0</v>
      </c>
      <c r="AN46" s="57">
        <f>IF(AG46&gt;'Test de compensation'!$D$142,0,AN45)</f>
        <v>435</v>
      </c>
      <c r="AO46" s="203" t="s">
        <v>107</v>
      </c>
      <c r="AP46" s="136" t="s">
        <v>107</v>
      </c>
      <c r="AQ46" s="276">
        <v>0</v>
      </c>
      <c r="AR46" s="203">
        <f t="shared" si="30"/>
        <v>16125.591407023392</v>
      </c>
      <c r="AS46" s="203">
        <f t="shared" si="29"/>
        <v>0</v>
      </c>
      <c r="AT46" s="135">
        <f t="shared" si="12"/>
        <v>0</v>
      </c>
      <c r="AU46" s="135">
        <f t="shared" si="27"/>
        <v>3629.760494070539</v>
      </c>
      <c r="AV46" s="283"/>
      <c r="AW46" s="142"/>
      <c r="AX46" s="43"/>
    </row>
    <row r="47" spans="1:50" ht="12.75">
      <c r="A47" s="44">
        <v>39</v>
      </c>
      <c r="B47" s="287">
        <f t="shared" si="31"/>
        <v>0.017</v>
      </c>
      <c r="C47" s="413">
        <f>IF(A47&gt;'Test de compensation'!$G$119,0,C46+(C46*B47))</f>
        <v>133464.50841595957</v>
      </c>
      <c r="D47" s="133">
        <v>0.03</v>
      </c>
      <c r="E47" s="417">
        <f t="shared" si="1"/>
        <v>-4003.935252478787</v>
      </c>
      <c r="F47" s="43">
        <f t="shared" si="13"/>
        <v>0</v>
      </c>
      <c r="G47" s="136">
        <f t="shared" si="2"/>
        <v>129460.57316348079</v>
      </c>
      <c r="H47" s="384">
        <f t="shared" si="3"/>
        <v>39</v>
      </c>
      <c r="I47" s="133">
        <f t="shared" si="4"/>
        <v>0.031</v>
      </c>
      <c r="J47" s="43">
        <f>IF(H47&gt;'Test de compensation'!$G$119,0,'Calculs détaillés'!J46)</f>
        <v>48237.83801833731</v>
      </c>
      <c r="K47" s="47">
        <f t="shared" si="14"/>
        <v>2857.209737208074</v>
      </c>
      <c r="L47" s="43">
        <f t="shared" si="5"/>
        <v>45380.62828112923</v>
      </c>
      <c r="M47" s="370">
        <f t="shared" si="15"/>
        <v>46787.427757840895</v>
      </c>
      <c r="N47" s="451">
        <f t="shared" si="16"/>
        <v>39</v>
      </c>
      <c r="O47" s="320">
        <f t="shared" si="17"/>
        <v>0.031</v>
      </c>
      <c r="P47" s="43">
        <f>IF(N47&gt;'Test de compensation'!$G$120,0,'Calculs détaillés'!P46)</f>
        <v>11992.899018836059</v>
      </c>
      <c r="Q47" s="47">
        <f t="shared" si="18"/>
        <v>3678.704261461227</v>
      </c>
      <c r="R47" s="43">
        <f t="shared" si="6"/>
        <v>8314.194757374831</v>
      </c>
      <c r="S47" s="370">
        <f t="shared" si="19"/>
        <v>110353.68464460023</v>
      </c>
      <c r="T47" s="451">
        <f t="shared" si="7"/>
        <v>39</v>
      </c>
      <c r="U47" s="320">
        <f t="shared" si="20"/>
        <v>0.01</v>
      </c>
      <c r="V47" s="43">
        <f>IF(T47&gt;'Test de compensation'!$G$121,0,'Calculs détaillés'!V46)</f>
        <v>0</v>
      </c>
      <c r="W47" s="43">
        <f t="shared" si="21"/>
        <v>2.1757795833521683E-12</v>
      </c>
      <c r="X47" s="43">
        <f t="shared" si="8"/>
        <v>-2.1757795833521683E-12</v>
      </c>
      <c r="Y47" s="370">
        <f t="shared" si="22"/>
        <v>2.19753737918569E-10</v>
      </c>
      <c r="Z47" s="451">
        <f t="shared" si="9"/>
        <v>39</v>
      </c>
      <c r="AA47" s="133">
        <f t="shared" si="28"/>
        <v>0.04</v>
      </c>
      <c r="AB47" s="43">
        <f>IF(Z47&gt;'Test de compensation'!$G$122,0,'Calculs détaillés'!AB46)</f>
        <v>0</v>
      </c>
      <c r="AC47" s="43">
        <f t="shared" si="23"/>
        <v>0</v>
      </c>
      <c r="AD47" s="43">
        <f t="shared" si="11"/>
        <v>0</v>
      </c>
      <c r="AE47" s="43">
        <f t="shared" si="24"/>
        <v>0</v>
      </c>
      <c r="AF47" s="136" t="s">
        <v>107</v>
      </c>
      <c r="AG47" s="467">
        <f t="shared" si="25"/>
        <v>39</v>
      </c>
      <c r="AH47" s="142">
        <v>0</v>
      </c>
      <c r="AI47" s="57">
        <f>IF(Z47&gt;'Test de compensation'!$D$142,0,AI46+(AI46*B46))</f>
        <v>0</v>
      </c>
      <c r="AJ47" s="57">
        <f>IF(AG47&gt;'Test de compensation'!$D$142,0,'Calculs détaillés'!AJ46+(AJ46*B46))</f>
        <v>35863.94131709486</v>
      </c>
      <c r="AK47" s="57">
        <f>IF(AG47&gt;'Test de compensation'!$D$142,0,'Calculs détaillés'!AK46+(AK46*B46))</f>
        <v>2362.4659756499004</v>
      </c>
      <c r="AL47" s="57">
        <f>IF(AG47&gt;'Test de compensation'!$D$142,0,'Calculs détaillés'!AL46+(AL46*B46))</f>
        <v>16399.72646094279</v>
      </c>
      <c r="AM47" s="57">
        <v>0</v>
      </c>
      <c r="AN47" s="57">
        <f>IF(AG47&gt;'Test de compensation'!$D$142,0,AN46)</f>
        <v>435</v>
      </c>
      <c r="AO47" s="203" t="s">
        <v>107</v>
      </c>
      <c r="AP47" s="136" t="s">
        <v>107</v>
      </c>
      <c r="AQ47" s="276">
        <v>0</v>
      </c>
      <c r="AR47" s="203">
        <f t="shared" si="30"/>
        <v>16399.72646094279</v>
      </c>
      <c r="AS47" s="203">
        <f t="shared" si="29"/>
        <v>0</v>
      </c>
      <c r="AT47" s="135">
        <f t="shared" si="12"/>
        <v>0</v>
      </c>
      <c r="AU47" s="135">
        <f t="shared" si="27"/>
        <v>3629.760494070539</v>
      </c>
      <c r="AV47" s="283"/>
      <c r="AW47" s="142"/>
      <c r="AX47" s="43"/>
    </row>
    <row r="48" spans="1:50" ht="12.75">
      <c r="A48" s="451">
        <v>40</v>
      </c>
      <c r="B48" s="385">
        <f t="shared" si="31"/>
        <v>0.017</v>
      </c>
      <c r="C48" s="413">
        <f>IF(A48&gt;'Test de compensation'!$G$119,0,C47+(C47*B48))</f>
        <v>135733.4050590309</v>
      </c>
      <c r="D48" s="320">
        <v>0.03</v>
      </c>
      <c r="E48" s="417">
        <f t="shared" si="1"/>
        <v>-4072.0021517709265</v>
      </c>
      <c r="F48" s="43">
        <f t="shared" si="13"/>
        <v>0</v>
      </c>
      <c r="G48" s="136">
        <f t="shared" si="2"/>
        <v>131661.40290725997</v>
      </c>
      <c r="H48" s="384">
        <f t="shared" si="3"/>
        <v>40</v>
      </c>
      <c r="I48" s="320">
        <f t="shared" si="4"/>
        <v>0.031</v>
      </c>
      <c r="J48" s="43">
        <f>IF(H48&gt;'Test de compensation'!$G$119,0,'Calculs détaillés'!J47)</f>
        <v>48237.83801833731</v>
      </c>
      <c r="K48" s="47">
        <f t="shared" si="14"/>
        <v>1450.4102604930677</v>
      </c>
      <c r="L48" s="43">
        <f t="shared" si="5"/>
        <v>46787.42775784424</v>
      </c>
      <c r="M48" s="370">
        <f t="shared" si="15"/>
        <v>-3.346940502524376E-09</v>
      </c>
      <c r="N48" s="479">
        <f t="shared" si="16"/>
        <v>40</v>
      </c>
      <c r="O48" s="320">
        <f t="shared" si="17"/>
        <v>0.031</v>
      </c>
      <c r="P48" s="458">
        <f>IF(N48&gt;'Test de compensation'!$G$120,0,'Calculs détaillés'!P47)</f>
        <v>11992.899018836059</v>
      </c>
      <c r="Q48" s="423">
        <f t="shared" si="18"/>
        <v>3420.964223982607</v>
      </c>
      <c r="R48" s="458">
        <f t="shared" si="6"/>
        <v>8571.934794853452</v>
      </c>
      <c r="S48" s="459">
        <f t="shared" si="19"/>
        <v>101781.74984974677</v>
      </c>
      <c r="T48" s="451">
        <f t="shared" si="7"/>
        <v>40</v>
      </c>
      <c r="U48" s="320">
        <f t="shared" si="20"/>
        <v>0.01</v>
      </c>
      <c r="V48" s="43">
        <f>IF(T48&gt;'Test de compensation'!$G$121,0,'Calculs détaillés'!V47)</f>
        <v>0</v>
      </c>
      <c r="W48" s="43">
        <f t="shared" si="21"/>
        <v>2.19753737918569E-12</v>
      </c>
      <c r="X48" s="43">
        <f t="shared" si="8"/>
        <v>-2.19753737918569E-12</v>
      </c>
      <c r="Y48" s="370">
        <f t="shared" si="22"/>
        <v>2.2195127529775469E-10</v>
      </c>
      <c r="Z48" s="451">
        <f t="shared" si="9"/>
        <v>40</v>
      </c>
      <c r="AA48" s="320">
        <f t="shared" si="28"/>
        <v>0.04</v>
      </c>
      <c r="AB48" s="43">
        <f>IF(Z48&gt;'Test de compensation'!$G$122,0,'Calculs détaillés'!AB47)</f>
        <v>0</v>
      </c>
      <c r="AC48" s="43">
        <f t="shared" si="23"/>
        <v>0</v>
      </c>
      <c r="AD48" s="43">
        <f t="shared" si="11"/>
        <v>0</v>
      </c>
      <c r="AE48" s="43">
        <f t="shared" si="24"/>
        <v>0</v>
      </c>
      <c r="AF48" s="136" t="s">
        <v>107</v>
      </c>
      <c r="AG48" s="467">
        <f t="shared" si="25"/>
        <v>40</v>
      </c>
      <c r="AH48" s="142">
        <v>0</v>
      </c>
      <c r="AI48" s="57">
        <f>IF(Z48&gt;'Test de compensation'!$D$142,0,AI47+(AI47*B47))</f>
        <v>0</v>
      </c>
      <c r="AJ48" s="57">
        <f>IF(AG48&gt;'Test de compensation'!$D$142,0,'Calculs détaillés'!AJ47+(AJ47*B47))</f>
        <v>36473.62831948548</v>
      </c>
      <c r="AK48" s="57">
        <f>IF(AG48&gt;'Test de compensation'!$D$142,0,'Calculs détaillés'!AK47+(AK47*B47))</f>
        <v>2402.6278972359487</v>
      </c>
      <c r="AL48" s="57">
        <f>IF(AG48&gt;'Test de compensation'!$D$142,0,'Calculs détaillés'!AL47+(AL47*B47))</f>
        <v>16678.521810778817</v>
      </c>
      <c r="AM48" s="57">
        <v>0</v>
      </c>
      <c r="AN48" s="57">
        <f>IF(AG48&gt;'Test de compensation'!$D$142,0,AN47)</f>
        <v>435</v>
      </c>
      <c r="AO48" s="203" t="s">
        <v>107</v>
      </c>
      <c r="AP48" s="136" t="s">
        <v>107</v>
      </c>
      <c r="AQ48" s="276">
        <v>0</v>
      </c>
      <c r="AR48" s="203">
        <f t="shared" si="30"/>
        <v>16678.521810778817</v>
      </c>
      <c r="AS48" s="203">
        <f t="shared" si="29"/>
        <v>0</v>
      </c>
      <c r="AT48" s="136">
        <f t="shared" si="12"/>
        <v>0</v>
      </c>
      <c r="AU48" s="136">
        <f t="shared" si="27"/>
        <v>3629.760494070539</v>
      </c>
      <c r="AV48" s="283"/>
      <c r="AW48" s="142"/>
      <c r="AX48" s="43"/>
    </row>
    <row r="49" spans="1:50" ht="12.75">
      <c r="A49" s="451">
        <v>41</v>
      </c>
      <c r="B49" s="452">
        <f t="shared" si="31"/>
        <v>0.017</v>
      </c>
      <c r="C49" s="413">
        <f>IF(A49&gt;'Test de compensation'!$G$119,0,C48+(C48*B49))</f>
        <v>0</v>
      </c>
      <c r="D49" s="320">
        <f aca="true" t="shared" si="32" ref="D49:D58">D48</f>
        <v>0.03</v>
      </c>
      <c r="E49" s="417">
        <f t="shared" si="1"/>
        <v>0</v>
      </c>
      <c r="F49" s="43">
        <f t="shared" si="13"/>
        <v>0</v>
      </c>
      <c r="G49" s="315">
        <f t="shared" si="2"/>
        <v>0</v>
      </c>
      <c r="H49" s="384">
        <f t="shared" si="3"/>
        <v>41</v>
      </c>
      <c r="I49" s="320">
        <f aca="true" t="shared" si="33" ref="I49:I58">I48</f>
        <v>0.031</v>
      </c>
      <c r="J49" s="43">
        <f>IF(H49&gt;'Test de compensation'!$G$119,0,'Calculs détaillés'!J48)</f>
        <v>0</v>
      </c>
      <c r="K49" s="47">
        <f t="shared" si="14"/>
        <v>-1.0375515557825565E-10</v>
      </c>
      <c r="L49" s="43">
        <f t="shared" si="5"/>
        <v>1.0375515557825565E-10</v>
      </c>
      <c r="M49" s="370">
        <f t="shared" si="15"/>
        <v>-3.4506956581026315E-09</v>
      </c>
      <c r="N49" s="451">
        <f t="shared" si="16"/>
        <v>41</v>
      </c>
      <c r="O49" s="320">
        <f t="shared" si="17"/>
        <v>0.031</v>
      </c>
      <c r="P49" s="314">
        <f>IF(N49&gt;'Test de compensation'!$G$120,0,'Calculs détaillés'!P48)</f>
        <v>11992.899018836059</v>
      </c>
      <c r="Q49" s="455">
        <f t="shared" si="18"/>
        <v>3155.23424534215</v>
      </c>
      <c r="R49" s="314">
        <f t="shared" si="6"/>
        <v>8837.664773493909</v>
      </c>
      <c r="S49" s="383">
        <f t="shared" si="19"/>
        <v>92944.08507625287</v>
      </c>
      <c r="T49" s="451">
        <f t="shared" si="7"/>
        <v>41</v>
      </c>
      <c r="U49" s="320">
        <f t="shared" si="20"/>
        <v>0.01</v>
      </c>
      <c r="V49" s="43">
        <f>IF(T49&gt;'Test de compensation'!$G$121,0,'Calculs détaillés'!V48)</f>
        <v>0</v>
      </c>
      <c r="W49" s="43">
        <f t="shared" si="21"/>
        <v>2.219512752977547E-12</v>
      </c>
      <c r="X49" s="43">
        <f t="shared" si="8"/>
        <v>-2.219512752977547E-12</v>
      </c>
      <c r="Y49" s="370">
        <f t="shared" si="22"/>
        <v>2.2417078805073223E-10</v>
      </c>
      <c r="Z49" s="451">
        <f t="shared" si="9"/>
        <v>41</v>
      </c>
      <c r="AA49" s="457">
        <f aca="true" t="shared" si="34" ref="AA49:AA58">AA48</f>
        <v>0.04</v>
      </c>
      <c r="AB49" s="43">
        <f>IF(Z49&gt;'Test de compensation'!$G$122,0,'Calculs détaillés'!AB48)</f>
        <v>0</v>
      </c>
      <c r="AC49" s="43">
        <f t="shared" si="23"/>
        <v>0</v>
      </c>
      <c r="AD49" s="43">
        <f t="shared" si="11"/>
        <v>0</v>
      </c>
      <c r="AE49" s="43">
        <f t="shared" si="24"/>
        <v>0</v>
      </c>
      <c r="AF49" s="315" t="s">
        <v>107</v>
      </c>
      <c r="AG49" s="467">
        <f t="shared" si="25"/>
        <v>41</v>
      </c>
      <c r="AH49" s="316">
        <v>0</v>
      </c>
      <c r="AI49" s="57">
        <f>IF(Z49&gt;'Test de compensation'!$D$142,0,AI48+(AI48*B48))</f>
        <v>0</v>
      </c>
      <c r="AJ49" s="57">
        <f>IF(AG49&gt;'Test de compensation'!$D$142,0,'Calculs détaillés'!AJ48+(AJ48*B48))</f>
        <v>0</v>
      </c>
      <c r="AK49" s="57">
        <f>IF(AG49&gt;'Test de compensation'!$D$142,0,'Calculs détaillés'!AK48+(AK48*B48))</f>
        <v>0</v>
      </c>
      <c r="AL49" s="57">
        <f>IF(AG49&gt;'Test de compensation'!$D$142,0,'Calculs détaillés'!AL48+(AL48*B48))</f>
        <v>0</v>
      </c>
      <c r="AM49" s="57">
        <v>0</v>
      </c>
      <c r="AN49" s="57">
        <f>IF(AG49&gt;'Test de compensation'!$D$142,0,AN48)</f>
        <v>0</v>
      </c>
      <c r="AO49" s="203" t="s">
        <v>107</v>
      </c>
      <c r="AP49" s="136"/>
      <c r="AQ49" s="203">
        <v>0</v>
      </c>
      <c r="AR49" s="203"/>
      <c r="AS49" s="203"/>
      <c r="AT49" s="136" t="s">
        <v>107</v>
      </c>
      <c r="AU49" s="136"/>
      <c r="AV49" s="142"/>
      <c r="AW49" s="142"/>
      <c r="AX49" s="43"/>
    </row>
    <row r="50" spans="1:50" ht="12.75">
      <c r="A50" s="44">
        <v>42</v>
      </c>
      <c r="B50" s="287">
        <f t="shared" si="31"/>
        <v>0.017</v>
      </c>
      <c r="C50" s="413">
        <f>IF(A50&gt;'Test de compensation'!$G$119,0,C49+(C49*B50))</f>
        <v>0</v>
      </c>
      <c r="D50" s="133">
        <f t="shared" si="32"/>
        <v>0.03</v>
      </c>
      <c r="E50" s="417">
        <f t="shared" si="1"/>
        <v>0</v>
      </c>
      <c r="F50" s="43">
        <f t="shared" si="13"/>
        <v>0</v>
      </c>
      <c r="G50" s="315">
        <f t="shared" si="2"/>
        <v>0</v>
      </c>
      <c r="H50" s="384">
        <f t="shared" si="3"/>
        <v>42</v>
      </c>
      <c r="I50" s="133">
        <f t="shared" si="33"/>
        <v>0.031</v>
      </c>
      <c r="J50" s="43">
        <f>IF(H50&gt;'Test de compensation'!$G$119,0,'Calculs détaillés'!J49)</f>
        <v>0</v>
      </c>
      <c r="K50" s="47">
        <f t="shared" si="14"/>
        <v>-1.0697156540118157E-10</v>
      </c>
      <c r="L50" s="43">
        <f t="shared" si="5"/>
        <v>1.0697156540118157E-10</v>
      </c>
      <c r="M50" s="370">
        <f t="shared" si="15"/>
        <v>-3.557667223503813E-09</v>
      </c>
      <c r="N50" s="451">
        <f t="shared" si="16"/>
        <v>42</v>
      </c>
      <c r="O50" s="320">
        <f t="shared" si="17"/>
        <v>0.031</v>
      </c>
      <c r="P50" s="314">
        <f>IF(N50&gt;'Test de compensation'!$G$120,0,'Calculs détaillés'!P49)</f>
        <v>11992.899018836059</v>
      </c>
      <c r="Q50" s="455">
        <f t="shared" si="18"/>
        <v>2881.266637363839</v>
      </c>
      <c r="R50" s="314">
        <f t="shared" si="6"/>
        <v>9111.63238147222</v>
      </c>
      <c r="S50" s="383">
        <f t="shared" si="19"/>
        <v>83832.45269478066</v>
      </c>
      <c r="T50" s="451">
        <f t="shared" si="7"/>
        <v>42</v>
      </c>
      <c r="U50" s="320">
        <f t="shared" si="20"/>
        <v>0.01</v>
      </c>
      <c r="V50" s="43">
        <f>IF(T50&gt;'Test de compensation'!$G$121,0,'Calculs détaillés'!V49)</f>
        <v>0</v>
      </c>
      <c r="W50" s="43">
        <f t="shared" si="21"/>
        <v>2.2417078805073222E-12</v>
      </c>
      <c r="X50" s="43">
        <f t="shared" si="8"/>
        <v>-2.2417078805073222E-12</v>
      </c>
      <c r="Y50" s="370">
        <f t="shared" si="22"/>
        <v>2.2641249593123954E-10</v>
      </c>
      <c r="Z50" s="451">
        <f t="shared" si="9"/>
        <v>42</v>
      </c>
      <c r="AA50" s="216">
        <f t="shared" si="34"/>
        <v>0.04</v>
      </c>
      <c r="AB50" s="43">
        <f>IF(Z50&gt;'Test de compensation'!$G$122,0,'Calculs détaillés'!AB49)</f>
        <v>0</v>
      </c>
      <c r="AC50" s="43">
        <f t="shared" si="23"/>
        <v>0</v>
      </c>
      <c r="AD50" s="43">
        <f t="shared" si="11"/>
        <v>0</v>
      </c>
      <c r="AE50" s="43">
        <f t="shared" si="24"/>
        <v>0</v>
      </c>
      <c r="AF50" s="315" t="s">
        <v>107</v>
      </c>
      <c r="AG50" s="467">
        <f t="shared" si="25"/>
        <v>42</v>
      </c>
      <c r="AH50" s="316">
        <v>0</v>
      </c>
      <c r="AI50" s="57">
        <f>IF(Z50&gt;'Test de compensation'!$D$142,0,AI49+(AI49*B49))</f>
        <v>0</v>
      </c>
      <c r="AJ50" s="57">
        <f>IF(AG50&gt;'Test de compensation'!$D$142,0,'Calculs détaillés'!AJ49+(AJ49*B49))</f>
        <v>0</v>
      </c>
      <c r="AK50" s="57">
        <f>IF(AG50&gt;'Test de compensation'!$D$142,0,'Calculs détaillés'!AK49+(AK49*B49))</f>
        <v>0</v>
      </c>
      <c r="AL50" s="57">
        <f>IF(AG50&gt;'Test de compensation'!$D$142,0,'Calculs détaillés'!AL49+(AL49*B49))</f>
        <v>0</v>
      </c>
      <c r="AM50" s="57">
        <v>0</v>
      </c>
      <c r="AN50" s="57">
        <f>IF(AG50&gt;'Test de compensation'!$D$142,0,AN49)</f>
        <v>0</v>
      </c>
      <c r="AO50" s="203" t="s">
        <v>107</v>
      </c>
      <c r="AP50" s="136"/>
      <c r="AQ50" s="276">
        <v>0</v>
      </c>
      <c r="AR50" s="203"/>
      <c r="AS50" s="203"/>
      <c r="AT50" s="135"/>
      <c r="AU50" s="135"/>
      <c r="AV50" s="283"/>
      <c r="AW50" s="142"/>
      <c r="AX50" s="43"/>
    </row>
    <row r="51" spans="1:50" ht="12.75">
      <c r="A51" s="44">
        <v>43</v>
      </c>
      <c r="B51" s="287">
        <f t="shared" si="31"/>
        <v>0.017</v>
      </c>
      <c r="C51" s="413">
        <f>IF(A51&gt;'Test de compensation'!$G$119,0,C50+(C50*B51))</f>
        <v>0</v>
      </c>
      <c r="D51" s="133">
        <f t="shared" si="32"/>
        <v>0.03</v>
      </c>
      <c r="E51" s="417">
        <f t="shared" si="1"/>
        <v>0</v>
      </c>
      <c r="F51" s="43">
        <f t="shared" si="13"/>
        <v>0</v>
      </c>
      <c r="G51" s="315">
        <f t="shared" si="2"/>
        <v>0</v>
      </c>
      <c r="H51" s="384">
        <f t="shared" si="3"/>
        <v>43</v>
      </c>
      <c r="I51" s="133">
        <f t="shared" si="33"/>
        <v>0.031</v>
      </c>
      <c r="J51" s="43">
        <f>IF(H51&gt;'Test de compensation'!$G$119,0,'Calculs détaillés'!J50)</f>
        <v>0</v>
      </c>
      <c r="K51" s="47">
        <f t="shared" si="14"/>
        <v>-1.1028768392861821E-10</v>
      </c>
      <c r="L51" s="43">
        <f t="shared" si="5"/>
        <v>1.1028768392861821E-10</v>
      </c>
      <c r="M51" s="370">
        <f t="shared" si="15"/>
        <v>-3.6679549074324315E-09</v>
      </c>
      <c r="N51" s="451">
        <f t="shared" si="16"/>
        <v>43</v>
      </c>
      <c r="O51" s="320">
        <f t="shared" si="17"/>
        <v>0.031</v>
      </c>
      <c r="P51" s="314">
        <f>IF(N51&gt;'Test de compensation'!$G$120,0,'Calculs détaillés'!P50)</f>
        <v>11992.899018836059</v>
      </c>
      <c r="Q51" s="455">
        <f t="shared" si="18"/>
        <v>2598.8060335382006</v>
      </c>
      <c r="R51" s="314">
        <f t="shared" si="6"/>
        <v>9394.092985297859</v>
      </c>
      <c r="S51" s="383">
        <f t="shared" si="19"/>
        <v>74438.3597094828</v>
      </c>
      <c r="T51" s="451">
        <f t="shared" si="7"/>
        <v>43</v>
      </c>
      <c r="U51" s="320">
        <f t="shared" si="20"/>
        <v>0.01</v>
      </c>
      <c r="V51" s="43">
        <f>IF(T51&gt;'Test de compensation'!$G$121,0,'Calculs détaillés'!V50)</f>
        <v>0</v>
      </c>
      <c r="W51" s="43">
        <f t="shared" si="21"/>
        <v>2.2641249593123956E-12</v>
      </c>
      <c r="X51" s="43">
        <f t="shared" si="8"/>
        <v>-2.2641249593123956E-12</v>
      </c>
      <c r="Y51" s="370">
        <f t="shared" si="22"/>
        <v>2.2867662089055195E-10</v>
      </c>
      <c r="Z51" s="451">
        <f t="shared" si="9"/>
        <v>43</v>
      </c>
      <c r="AA51" s="216">
        <f t="shared" si="34"/>
        <v>0.04</v>
      </c>
      <c r="AB51" s="43">
        <f>IF(Z51&gt;'Test de compensation'!$G$122,0,'Calculs détaillés'!AB50)</f>
        <v>0</v>
      </c>
      <c r="AC51" s="43">
        <f t="shared" si="23"/>
        <v>0</v>
      </c>
      <c r="AD51" s="43">
        <f t="shared" si="11"/>
        <v>0</v>
      </c>
      <c r="AE51" s="43">
        <f t="shared" si="24"/>
        <v>0</v>
      </c>
      <c r="AF51" s="315" t="s">
        <v>107</v>
      </c>
      <c r="AG51" s="467">
        <f t="shared" si="25"/>
        <v>43</v>
      </c>
      <c r="AH51" s="316">
        <v>0</v>
      </c>
      <c r="AI51" s="57">
        <f>IF(Z51&gt;'Test de compensation'!$D$142,0,AI50+(AI50*B50))</f>
        <v>0</v>
      </c>
      <c r="AJ51" s="57">
        <f>IF(AG51&gt;'Test de compensation'!$D$142,0,'Calculs détaillés'!AJ50+(AJ50*B50))</f>
        <v>0</v>
      </c>
      <c r="AK51" s="57">
        <f>IF(AG51&gt;'Test de compensation'!$D$142,0,'Calculs détaillés'!AK50+(AK50*B50))</f>
        <v>0</v>
      </c>
      <c r="AL51" s="57">
        <f>IF(AG51&gt;'Test de compensation'!$D$142,0,'Calculs détaillés'!AL50+(AL50*B50))</f>
        <v>0</v>
      </c>
      <c r="AM51" s="57">
        <v>0</v>
      </c>
      <c r="AN51" s="57">
        <f>IF(AG51&gt;'Test de compensation'!$D$142,0,AN50)</f>
        <v>0</v>
      </c>
      <c r="AO51" s="203" t="s">
        <v>107</v>
      </c>
      <c r="AP51" s="136"/>
      <c r="AQ51" s="276">
        <v>0</v>
      </c>
      <c r="AR51" s="203"/>
      <c r="AS51" s="203"/>
      <c r="AT51" s="135"/>
      <c r="AU51" s="135"/>
      <c r="AV51" s="283"/>
      <c r="AW51" s="142"/>
      <c r="AX51" s="43"/>
    </row>
    <row r="52" spans="1:50" ht="12.75">
      <c r="A52" s="44">
        <v>44</v>
      </c>
      <c r="B52" s="287">
        <f t="shared" si="31"/>
        <v>0.017</v>
      </c>
      <c r="C52" s="413">
        <f>IF(A52&gt;'Test de compensation'!$G$119,0,C51+(C51*B52))</f>
        <v>0</v>
      </c>
      <c r="D52" s="133">
        <f t="shared" si="32"/>
        <v>0.03</v>
      </c>
      <c r="E52" s="417">
        <f t="shared" si="1"/>
        <v>0</v>
      </c>
      <c r="F52" s="43">
        <f t="shared" si="13"/>
        <v>0</v>
      </c>
      <c r="G52" s="315">
        <f t="shared" si="2"/>
        <v>0</v>
      </c>
      <c r="H52" s="384">
        <f t="shared" si="3"/>
        <v>44</v>
      </c>
      <c r="I52" s="133">
        <f t="shared" si="33"/>
        <v>0.031</v>
      </c>
      <c r="J52" s="43">
        <f>IF(H52&gt;'Test de compensation'!$G$119,0,'Calculs détaillés'!J51)</f>
        <v>0</v>
      </c>
      <c r="K52" s="47">
        <f t="shared" si="14"/>
        <v>-1.1370660213040538E-10</v>
      </c>
      <c r="L52" s="43">
        <f t="shared" si="5"/>
        <v>1.1370660213040538E-10</v>
      </c>
      <c r="M52" s="370">
        <f t="shared" si="15"/>
        <v>-3.7816615095628365E-09</v>
      </c>
      <c r="N52" s="451">
        <f t="shared" si="16"/>
        <v>44</v>
      </c>
      <c r="O52" s="320">
        <f t="shared" si="17"/>
        <v>0.031</v>
      </c>
      <c r="P52" s="314">
        <f>IF(N52&gt;'Test de compensation'!$G$120,0,'Calculs détaillés'!P51)</f>
        <v>11992.899018836059</v>
      </c>
      <c r="Q52" s="455">
        <f t="shared" si="18"/>
        <v>2307.589150993967</v>
      </c>
      <c r="R52" s="314">
        <f t="shared" si="6"/>
        <v>9685.309867842092</v>
      </c>
      <c r="S52" s="383">
        <f t="shared" si="19"/>
        <v>64753.049841640706</v>
      </c>
      <c r="T52" s="451">
        <f t="shared" si="7"/>
        <v>44</v>
      </c>
      <c r="U52" s="320">
        <f t="shared" si="20"/>
        <v>0.01</v>
      </c>
      <c r="V52" s="43">
        <f>IF(T52&gt;'Test de compensation'!$G$121,0,'Calculs détaillés'!V51)</f>
        <v>0</v>
      </c>
      <c r="W52" s="43">
        <f t="shared" si="21"/>
        <v>2.2867662089055196E-12</v>
      </c>
      <c r="X52" s="43">
        <f t="shared" si="8"/>
        <v>-2.2867662089055196E-12</v>
      </c>
      <c r="Y52" s="370">
        <f t="shared" si="22"/>
        <v>2.3096338709945748E-10</v>
      </c>
      <c r="Z52" s="451">
        <f t="shared" si="9"/>
        <v>44</v>
      </c>
      <c r="AA52" s="216">
        <f t="shared" si="34"/>
        <v>0.04</v>
      </c>
      <c r="AB52" s="43">
        <f>IF(Z52&gt;'Test de compensation'!$G$122,0,'Calculs détaillés'!AB51)</f>
        <v>0</v>
      </c>
      <c r="AC52" s="43">
        <f t="shared" si="23"/>
        <v>0</v>
      </c>
      <c r="AD52" s="43">
        <f t="shared" si="11"/>
        <v>0</v>
      </c>
      <c r="AE52" s="43">
        <f t="shared" si="24"/>
        <v>0</v>
      </c>
      <c r="AF52" s="315" t="s">
        <v>107</v>
      </c>
      <c r="AG52" s="467">
        <f t="shared" si="25"/>
        <v>44</v>
      </c>
      <c r="AH52" s="316">
        <v>0</v>
      </c>
      <c r="AI52" s="57">
        <f>IF(Z52&gt;'Test de compensation'!$D$142,0,AI51+(AI51*B51))</f>
        <v>0</v>
      </c>
      <c r="AJ52" s="57">
        <f>IF(AG52&gt;'Test de compensation'!$D$142,0,'Calculs détaillés'!AJ51+(AJ51*B51))</f>
        <v>0</v>
      </c>
      <c r="AK52" s="57">
        <f>IF(AG52&gt;'Test de compensation'!$D$142,0,'Calculs détaillés'!AK51+(AK51*B51))</f>
        <v>0</v>
      </c>
      <c r="AL52" s="57">
        <f>IF(AG52&gt;'Test de compensation'!$D$142,0,'Calculs détaillés'!AL51+(AL51*B51))</f>
        <v>0</v>
      </c>
      <c r="AM52" s="57">
        <v>0</v>
      </c>
      <c r="AN52" s="57">
        <f>IF(AG52&gt;'Test de compensation'!$D$142,0,AN51)</f>
        <v>0</v>
      </c>
      <c r="AO52" s="203" t="s">
        <v>107</v>
      </c>
      <c r="AP52" s="136"/>
      <c r="AQ52" s="276">
        <v>0</v>
      </c>
      <c r="AR52" s="203"/>
      <c r="AS52" s="203"/>
      <c r="AT52" s="135"/>
      <c r="AU52" s="135"/>
      <c r="AV52" s="283"/>
      <c r="AW52" s="142"/>
      <c r="AX52" s="43"/>
    </row>
    <row r="53" spans="1:50" ht="12.75">
      <c r="A53" s="44">
        <v>45</v>
      </c>
      <c r="B53" s="287">
        <f t="shared" si="31"/>
        <v>0.017</v>
      </c>
      <c r="C53" s="413">
        <f>IF(A53&gt;'Test de compensation'!$G$119,0,C52+(C52*B53))</f>
        <v>0</v>
      </c>
      <c r="D53" s="133">
        <f t="shared" si="32"/>
        <v>0.03</v>
      </c>
      <c r="E53" s="417">
        <f t="shared" si="1"/>
        <v>0</v>
      </c>
      <c r="F53" s="43">
        <f t="shared" si="13"/>
        <v>0</v>
      </c>
      <c r="G53" s="315">
        <f t="shared" si="2"/>
        <v>0</v>
      </c>
      <c r="H53" s="384">
        <f t="shared" si="3"/>
        <v>45</v>
      </c>
      <c r="I53" s="133">
        <f t="shared" si="33"/>
        <v>0.031</v>
      </c>
      <c r="J53" s="43">
        <f>IF(H53&gt;'Test de compensation'!$G$119,0,'Calculs détaillés'!J52)</f>
        <v>0</v>
      </c>
      <c r="K53" s="47">
        <f t="shared" si="14"/>
        <v>-1.1723150679644793E-10</v>
      </c>
      <c r="L53" s="43">
        <f t="shared" si="5"/>
        <v>1.1723150679644793E-10</v>
      </c>
      <c r="M53" s="370">
        <f t="shared" si="15"/>
        <v>-3.898893016359285E-09</v>
      </c>
      <c r="N53" s="451">
        <f t="shared" si="16"/>
        <v>45</v>
      </c>
      <c r="O53" s="320">
        <f t="shared" si="17"/>
        <v>0.031</v>
      </c>
      <c r="P53" s="314">
        <f>IF(N53&gt;'Test de compensation'!$G$120,0,'Calculs détaillés'!P52)</f>
        <v>11992.899018836059</v>
      </c>
      <c r="Q53" s="455">
        <f t="shared" si="18"/>
        <v>2007.3445450908619</v>
      </c>
      <c r="R53" s="314">
        <f t="shared" si="6"/>
        <v>9985.554473745196</v>
      </c>
      <c r="S53" s="383">
        <f t="shared" si="19"/>
        <v>54767.495367895506</v>
      </c>
      <c r="T53" s="451">
        <f t="shared" si="7"/>
        <v>45</v>
      </c>
      <c r="U53" s="320">
        <f t="shared" si="20"/>
        <v>0.01</v>
      </c>
      <c r="V53" s="43">
        <f>IF(T53&gt;'Test de compensation'!$G$121,0,'Calculs détaillés'!V52)</f>
        <v>0</v>
      </c>
      <c r="W53" s="43">
        <f t="shared" si="21"/>
        <v>2.309633870994575E-12</v>
      </c>
      <c r="X53" s="43">
        <f t="shared" si="8"/>
        <v>-2.309633870994575E-12</v>
      </c>
      <c r="Y53" s="370">
        <f t="shared" si="22"/>
        <v>2.3327302097045204E-10</v>
      </c>
      <c r="Z53" s="451">
        <f t="shared" si="9"/>
        <v>45</v>
      </c>
      <c r="AA53" s="216">
        <f t="shared" si="34"/>
        <v>0.04</v>
      </c>
      <c r="AB53" s="43">
        <f>IF(Z53&gt;'Test de compensation'!$G$122,0,'Calculs détaillés'!AB52)</f>
        <v>0</v>
      </c>
      <c r="AC53" s="43">
        <f t="shared" si="23"/>
        <v>0</v>
      </c>
      <c r="AD53" s="43">
        <f t="shared" si="11"/>
        <v>0</v>
      </c>
      <c r="AE53" s="43">
        <f t="shared" si="24"/>
        <v>0</v>
      </c>
      <c r="AF53" s="315" t="s">
        <v>107</v>
      </c>
      <c r="AG53" s="467">
        <f t="shared" si="25"/>
        <v>45</v>
      </c>
      <c r="AH53" s="316">
        <v>0</v>
      </c>
      <c r="AI53" s="57">
        <f>IF(Z53&gt;'Test de compensation'!$D$142,0,AI52+(AI52*B52))</f>
        <v>0</v>
      </c>
      <c r="AJ53" s="57">
        <f>IF(AG53&gt;'Test de compensation'!$D$142,0,'Calculs détaillés'!AJ52+(AJ52*B52))</f>
        <v>0</v>
      </c>
      <c r="AK53" s="57">
        <f>IF(AG53&gt;'Test de compensation'!$D$142,0,'Calculs détaillés'!AK52+(AK52*B52))</f>
        <v>0</v>
      </c>
      <c r="AL53" s="57">
        <f>IF(AG53&gt;'Test de compensation'!$D$142,0,'Calculs détaillés'!AL52+(AL52*B52))</f>
        <v>0</v>
      </c>
      <c r="AM53" s="57">
        <v>0</v>
      </c>
      <c r="AN53" s="57">
        <f>IF(AG53&gt;'Test de compensation'!$D$142,0,AN52)</f>
        <v>0</v>
      </c>
      <c r="AO53" s="203" t="s">
        <v>107</v>
      </c>
      <c r="AP53" s="136"/>
      <c r="AQ53" s="276">
        <v>0</v>
      </c>
      <c r="AR53" s="203"/>
      <c r="AS53" s="203"/>
      <c r="AT53" s="135"/>
      <c r="AU53" s="135"/>
      <c r="AV53" s="283"/>
      <c r="AW53" s="142"/>
      <c r="AX53" s="43"/>
    </row>
    <row r="54" spans="1:50" ht="12.75">
      <c r="A54" s="44">
        <v>46</v>
      </c>
      <c r="B54" s="287">
        <f t="shared" si="31"/>
        <v>0.017</v>
      </c>
      <c r="C54" s="413">
        <f>IF(A54&gt;'Test de compensation'!$G$119,0,C53+(C53*B54))</f>
        <v>0</v>
      </c>
      <c r="D54" s="133">
        <f t="shared" si="32"/>
        <v>0.03</v>
      </c>
      <c r="E54" s="417">
        <f t="shared" si="1"/>
        <v>0</v>
      </c>
      <c r="F54" s="43">
        <f t="shared" si="13"/>
        <v>0</v>
      </c>
      <c r="G54" s="315">
        <f t="shared" si="2"/>
        <v>0</v>
      </c>
      <c r="H54" s="384">
        <f t="shared" si="3"/>
        <v>46</v>
      </c>
      <c r="I54" s="133">
        <f t="shared" si="33"/>
        <v>0.031</v>
      </c>
      <c r="J54" s="43">
        <f>IF(H54&gt;'Test de compensation'!$G$119,0,'Calculs détaillés'!J53)</f>
        <v>0</v>
      </c>
      <c r="K54" s="47">
        <f t="shared" si="14"/>
        <v>-1.2086568350713783E-10</v>
      </c>
      <c r="L54" s="43">
        <f t="shared" si="5"/>
        <v>1.2086568350713783E-10</v>
      </c>
      <c r="M54" s="370">
        <f t="shared" si="15"/>
        <v>-4.0197586998664225E-09</v>
      </c>
      <c r="N54" s="451">
        <f t="shared" si="16"/>
        <v>46</v>
      </c>
      <c r="O54" s="320">
        <f t="shared" si="17"/>
        <v>0.031</v>
      </c>
      <c r="P54" s="314">
        <f>IF(N54&gt;'Test de compensation'!$G$120,0,'Calculs détaillés'!P53)</f>
        <v>11992.899018836059</v>
      </c>
      <c r="Q54" s="455">
        <f t="shared" si="18"/>
        <v>1697.7923564047608</v>
      </c>
      <c r="R54" s="314">
        <f t="shared" si="6"/>
        <v>10295.106662431297</v>
      </c>
      <c r="S54" s="383">
        <f t="shared" si="19"/>
        <v>44472.38870546421</v>
      </c>
      <c r="T54" s="451">
        <f t="shared" si="7"/>
        <v>46</v>
      </c>
      <c r="U54" s="320">
        <f t="shared" si="20"/>
        <v>0.01</v>
      </c>
      <c r="V54" s="43">
        <f>IF(T54&gt;'Test de compensation'!$G$121,0,'Calculs détaillés'!V53)</f>
        <v>0</v>
      </c>
      <c r="W54" s="43">
        <f t="shared" si="21"/>
        <v>2.3327302097045205E-12</v>
      </c>
      <c r="X54" s="43">
        <f t="shared" si="8"/>
        <v>-2.3327302097045205E-12</v>
      </c>
      <c r="Y54" s="370">
        <f t="shared" si="22"/>
        <v>2.3560575118015654E-10</v>
      </c>
      <c r="Z54" s="451">
        <f t="shared" si="9"/>
        <v>46</v>
      </c>
      <c r="AA54" s="216">
        <f t="shared" si="34"/>
        <v>0.04</v>
      </c>
      <c r="AB54" s="43">
        <f>IF(Z54&gt;'Test de compensation'!$G$122,0,'Calculs détaillés'!AB53)</f>
        <v>0</v>
      </c>
      <c r="AC54" s="43">
        <f t="shared" si="23"/>
        <v>0</v>
      </c>
      <c r="AD54" s="43">
        <f t="shared" si="11"/>
        <v>0</v>
      </c>
      <c r="AE54" s="43">
        <f t="shared" si="24"/>
        <v>0</v>
      </c>
      <c r="AF54" s="315" t="s">
        <v>107</v>
      </c>
      <c r="AG54" s="467">
        <f t="shared" si="25"/>
        <v>46</v>
      </c>
      <c r="AH54" s="316">
        <v>0</v>
      </c>
      <c r="AI54" s="57">
        <f>IF(Z54&gt;'Test de compensation'!$D$142,0,AI53+(AI53*B53))</f>
        <v>0</v>
      </c>
      <c r="AJ54" s="57">
        <f>IF(AG54&gt;'Test de compensation'!$D$142,0,'Calculs détaillés'!AJ53+(AJ53*B53))</f>
        <v>0</v>
      </c>
      <c r="AK54" s="57">
        <f>IF(AG54&gt;'Test de compensation'!$D$142,0,'Calculs détaillés'!AK53+(AK53*B53))</f>
        <v>0</v>
      </c>
      <c r="AL54" s="57">
        <f>IF(AG54&gt;'Test de compensation'!$D$142,0,'Calculs détaillés'!AL53+(AL53*B53))</f>
        <v>0</v>
      </c>
      <c r="AM54" s="57">
        <v>0</v>
      </c>
      <c r="AN54" s="57">
        <f>IF(AG54&gt;'Test de compensation'!$D$142,0,AN53)</f>
        <v>0</v>
      </c>
      <c r="AO54" s="203" t="s">
        <v>107</v>
      </c>
      <c r="AP54" s="136"/>
      <c r="AQ54" s="276">
        <v>0</v>
      </c>
      <c r="AR54" s="203"/>
      <c r="AS54" s="203"/>
      <c r="AT54" s="135"/>
      <c r="AU54" s="135"/>
      <c r="AV54" s="283"/>
      <c r="AW54" s="142"/>
      <c r="AX54" s="43"/>
    </row>
    <row r="55" spans="1:50" ht="12.75">
      <c r="A55" s="44">
        <v>47</v>
      </c>
      <c r="B55" s="287">
        <f t="shared" si="31"/>
        <v>0.017</v>
      </c>
      <c r="C55" s="413">
        <f>IF(A55&gt;'Test de compensation'!$G$119,0,C54+(C54*B55))</f>
        <v>0</v>
      </c>
      <c r="D55" s="133">
        <f t="shared" si="32"/>
        <v>0.03</v>
      </c>
      <c r="E55" s="417">
        <f t="shared" si="1"/>
        <v>0</v>
      </c>
      <c r="F55" s="43">
        <f t="shared" si="13"/>
        <v>0</v>
      </c>
      <c r="G55" s="315">
        <f t="shared" si="2"/>
        <v>0</v>
      </c>
      <c r="H55" s="384">
        <f t="shared" si="3"/>
        <v>47</v>
      </c>
      <c r="I55" s="133">
        <f t="shared" si="33"/>
        <v>0.031</v>
      </c>
      <c r="J55" s="43">
        <f>IF(H55&gt;'Test de compensation'!$G$119,0,'Calculs détaillés'!J54)</f>
        <v>0</v>
      </c>
      <c r="K55" s="47">
        <f t="shared" si="14"/>
        <v>-1.246125196958591E-10</v>
      </c>
      <c r="L55" s="43">
        <f t="shared" si="5"/>
        <v>1.246125196958591E-10</v>
      </c>
      <c r="M55" s="370">
        <f t="shared" si="15"/>
        <v>-4.144371219562282E-09</v>
      </c>
      <c r="N55" s="451">
        <f t="shared" si="16"/>
        <v>47</v>
      </c>
      <c r="O55" s="320">
        <f t="shared" si="17"/>
        <v>0.031</v>
      </c>
      <c r="P55" s="314">
        <f>IF(N55&gt;'Test de compensation'!$G$120,0,'Calculs détaillés'!P54)</f>
        <v>11992.899018836059</v>
      </c>
      <c r="Q55" s="455">
        <f t="shared" si="18"/>
        <v>1378.6440498693905</v>
      </c>
      <c r="R55" s="314">
        <f t="shared" si="6"/>
        <v>10614.254968966668</v>
      </c>
      <c r="S55" s="383">
        <f t="shared" si="19"/>
        <v>33858.13373649754</v>
      </c>
      <c r="T55" s="451">
        <f t="shared" si="7"/>
        <v>47</v>
      </c>
      <c r="U55" s="320">
        <f t="shared" si="20"/>
        <v>0.01</v>
      </c>
      <c r="V55" s="43">
        <f>IF(T55&gt;'Test de compensation'!$G$121,0,'Calculs détaillés'!V54)</f>
        <v>0</v>
      </c>
      <c r="W55" s="43">
        <f t="shared" si="21"/>
        <v>2.3560575118015653E-12</v>
      </c>
      <c r="X55" s="43">
        <f t="shared" si="8"/>
        <v>-2.3560575118015653E-12</v>
      </c>
      <c r="Y55" s="370">
        <f t="shared" si="22"/>
        <v>2.379618086919581E-10</v>
      </c>
      <c r="Z55" s="451">
        <f t="shared" si="9"/>
        <v>47</v>
      </c>
      <c r="AA55" s="216">
        <f t="shared" si="34"/>
        <v>0.04</v>
      </c>
      <c r="AB55" s="43">
        <f>IF(Z55&gt;'Test de compensation'!$G$122,0,'Calculs détaillés'!AB54)</f>
        <v>0</v>
      </c>
      <c r="AC55" s="43">
        <f t="shared" si="23"/>
        <v>0</v>
      </c>
      <c r="AD55" s="43">
        <f t="shared" si="11"/>
        <v>0</v>
      </c>
      <c r="AE55" s="43">
        <f t="shared" si="24"/>
        <v>0</v>
      </c>
      <c r="AF55" s="315" t="s">
        <v>107</v>
      </c>
      <c r="AG55" s="467">
        <f t="shared" si="25"/>
        <v>47</v>
      </c>
      <c r="AH55" s="316">
        <v>0</v>
      </c>
      <c r="AI55" s="57">
        <f>IF(Z55&gt;'Test de compensation'!$D$142,0,AI54+(AI54*B54))</f>
        <v>0</v>
      </c>
      <c r="AJ55" s="57">
        <f>IF(AG55&gt;'Test de compensation'!$D$142,0,'Calculs détaillés'!AJ54+(AJ54*B54))</f>
        <v>0</v>
      </c>
      <c r="AK55" s="57">
        <f>IF(AG55&gt;'Test de compensation'!$D$142,0,'Calculs détaillés'!AK54+(AK54*B54))</f>
        <v>0</v>
      </c>
      <c r="AL55" s="57">
        <f>IF(AG55&gt;'Test de compensation'!$D$142,0,'Calculs détaillés'!AL54+(AL54*B54))</f>
        <v>0</v>
      </c>
      <c r="AM55" s="57">
        <v>0</v>
      </c>
      <c r="AN55" s="57">
        <f>IF(AG55&gt;'Test de compensation'!$D$142,0,AN54)</f>
        <v>0</v>
      </c>
      <c r="AO55" s="203" t="s">
        <v>107</v>
      </c>
      <c r="AP55" s="136"/>
      <c r="AQ55" s="276">
        <v>0</v>
      </c>
      <c r="AR55" s="203"/>
      <c r="AS55" s="203"/>
      <c r="AT55" s="135"/>
      <c r="AU55" s="135"/>
      <c r="AV55" s="283"/>
      <c r="AW55" s="142"/>
      <c r="AX55" s="43"/>
    </row>
    <row r="56" spans="1:50" ht="12.75">
      <c r="A56" s="44">
        <v>48</v>
      </c>
      <c r="B56" s="287">
        <f t="shared" si="31"/>
        <v>0.017</v>
      </c>
      <c r="C56" s="413">
        <f>IF(A56&gt;'Test de compensation'!$G$119,0,C55+(C55*B56))</f>
        <v>0</v>
      </c>
      <c r="D56" s="133">
        <f t="shared" si="32"/>
        <v>0.03</v>
      </c>
      <c r="E56" s="417">
        <f t="shared" si="1"/>
        <v>0</v>
      </c>
      <c r="F56" s="43">
        <f t="shared" si="13"/>
        <v>0</v>
      </c>
      <c r="G56" s="315">
        <f t="shared" si="2"/>
        <v>0</v>
      </c>
      <c r="H56" s="384">
        <f t="shared" si="3"/>
        <v>48</v>
      </c>
      <c r="I56" s="133">
        <f t="shared" si="33"/>
        <v>0.031</v>
      </c>
      <c r="J56" s="43">
        <f>IF(H56&gt;'Test de compensation'!$G$119,0,'Calculs détaillés'!J55)</f>
        <v>0</v>
      </c>
      <c r="K56" s="47">
        <f t="shared" si="14"/>
        <v>-1.2847550780643074E-10</v>
      </c>
      <c r="L56" s="43">
        <f t="shared" si="5"/>
        <v>1.2847550780643074E-10</v>
      </c>
      <c r="M56" s="370">
        <f t="shared" si="15"/>
        <v>-4.272846727368713E-09</v>
      </c>
      <c r="N56" s="451">
        <f t="shared" si="16"/>
        <v>48</v>
      </c>
      <c r="O56" s="320">
        <f t="shared" si="17"/>
        <v>0.031</v>
      </c>
      <c r="P56" s="314">
        <f>IF(N56&gt;'Test de compensation'!$G$120,0,'Calculs détaillés'!P55)</f>
        <v>11992.899018836059</v>
      </c>
      <c r="Q56" s="455">
        <f t="shared" si="18"/>
        <v>1049.6021458314237</v>
      </c>
      <c r="R56" s="314">
        <f t="shared" si="6"/>
        <v>10943.296873004634</v>
      </c>
      <c r="S56" s="383">
        <f t="shared" si="19"/>
        <v>22914.836863492907</v>
      </c>
      <c r="T56" s="451">
        <f t="shared" si="7"/>
        <v>48</v>
      </c>
      <c r="U56" s="320">
        <f t="shared" si="20"/>
        <v>0.01</v>
      </c>
      <c r="V56" s="43">
        <f>IF(T56&gt;'Test de compensation'!$G$121,0,'Calculs détaillés'!V55)</f>
        <v>0</v>
      </c>
      <c r="W56" s="43">
        <f t="shared" si="21"/>
        <v>2.3796180869195814E-12</v>
      </c>
      <c r="X56" s="43">
        <f t="shared" si="8"/>
        <v>-2.3796180869195814E-12</v>
      </c>
      <c r="Y56" s="370">
        <f t="shared" si="22"/>
        <v>2.403414267788777E-10</v>
      </c>
      <c r="Z56" s="451">
        <f t="shared" si="9"/>
        <v>48</v>
      </c>
      <c r="AA56" s="216">
        <f t="shared" si="34"/>
        <v>0.04</v>
      </c>
      <c r="AB56" s="43">
        <f>IF(Z56&gt;'Test de compensation'!$G$122,0,'Calculs détaillés'!AB55)</f>
        <v>0</v>
      </c>
      <c r="AC56" s="43">
        <f t="shared" si="23"/>
        <v>0</v>
      </c>
      <c r="AD56" s="43">
        <f t="shared" si="11"/>
        <v>0</v>
      </c>
      <c r="AE56" s="43">
        <f t="shared" si="24"/>
        <v>0</v>
      </c>
      <c r="AF56" s="315" t="s">
        <v>107</v>
      </c>
      <c r="AG56" s="467">
        <f t="shared" si="25"/>
        <v>48</v>
      </c>
      <c r="AH56" s="316">
        <v>0</v>
      </c>
      <c r="AI56" s="57">
        <f>IF(Z56&gt;'Test de compensation'!$D$142,0,AI55+(AI55*B55))</f>
        <v>0</v>
      </c>
      <c r="AJ56" s="57">
        <f>IF(AG56&gt;'Test de compensation'!$D$142,0,'Calculs détaillés'!AJ55+(AJ55*B55))</f>
        <v>0</v>
      </c>
      <c r="AK56" s="57">
        <f>IF(AG56&gt;'Test de compensation'!$D$142,0,'Calculs détaillés'!AK55+(AK55*B55))</f>
        <v>0</v>
      </c>
      <c r="AL56" s="57">
        <f>IF(AG56&gt;'Test de compensation'!$D$142,0,'Calculs détaillés'!AL55+(AL55*B55))</f>
        <v>0</v>
      </c>
      <c r="AM56" s="57">
        <v>0</v>
      </c>
      <c r="AN56" s="57">
        <f>IF(AG56&gt;'Test de compensation'!$D$142,0,AN55)</f>
        <v>0</v>
      </c>
      <c r="AO56" s="203" t="s">
        <v>107</v>
      </c>
      <c r="AP56" s="136"/>
      <c r="AQ56" s="276">
        <v>0</v>
      </c>
      <c r="AR56" s="203"/>
      <c r="AS56" s="203"/>
      <c r="AT56" s="135"/>
      <c r="AU56" s="135"/>
      <c r="AV56" s="283"/>
      <c r="AW56" s="142"/>
      <c r="AX56" s="43"/>
    </row>
    <row r="57" spans="1:50" ht="12.75">
      <c r="A57" s="44">
        <v>49</v>
      </c>
      <c r="B57" s="287">
        <f t="shared" si="31"/>
        <v>0.017</v>
      </c>
      <c r="C57" s="413">
        <f>IF(A57&gt;'Test de compensation'!$G$119,0,C56+(C56*B57))</f>
        <v>0</v>
      </c>
      <c r="D57" s="133">
        <f t="shared" si="32"/>
        <v>0.03</v>
      </c>
      <c r="E57" s="417">
        <f t="shared" si="1"/>
        <v>0</v>
      </c>
      <c r="F57" s="43">
        <f t="shared" si="13"/>
        <v>0</v>
      </c>
      <c r="G57" s="315">
        <f t="shared" si="2"/>
        <v>0</v>
      </c>
      <c r="H57" s="384">
        <f t="shared" si="3"/>
        <v>49</v>
      </c>
      <c r="I57" s="133">
        <f t="shared" si="33"/>
        <v>0.031</v>
      </c>
      <c r="J57" s="43">
        <f>IF(H57&gt;'Test de compensation'!$G$119,0,'Calculs détaillés'!J56)</f>
        <v>0</v>
      </c>
      <c r="K57" s="47">
        <f t="shared" si="14"/>
        <v>-1.324582485484301E-10</v>
      </c>
      <c r="L57" s="43">
        <f t="shared" si="5"/>
        <v>1.324582485484301E-10</v>
      </c>
      <c r="M57" s="370">
        <f t="shared" si="15"/>
        <v>-4.405304975917143E-09</v>
      </c>
      <c r="N57" s="451">
        <f t="shared" si="16"/>
        <v>49</v>
      </c>
      <c r="O57" s="320">
        <f t="shared" si="17"/>
        <v>0.031</v>
      </c>
      <c r="P57" s="314">
        <f>IF(N57&gt;'Test de compensation'!$G$120,0,'Calculs détaillés'!P56)</f>
        <v>11992.899018836059</v>
      </c>
      <c r="Q57" s="455">
        <f t="shared" si="18"/>
        <v>710.3599427682801</v>
      </c>
      <c r="R57" s="314">
        <f t="shared" si="6"/>
        <v>11282.539076067778</v>
      </c>
      <c r="S57" s="383">
        <f t="shared" si="19"/>
        <v>11632.297787425128</v>
      </c>
      <c r="T57" s="451">
        <f t="shared" si="7"/>
        <v>49</v>
      </c>
      <c r="U57" s="320">
        <f t="shared" si="20"/>
        <v>0.01</v>
      </c>
      <c r="V57" s="43">
        <f>IF(T57&gt;'Test de compensation'!$G$121,0,'Calculs détaillés'!V56)</f>
        <v>0</v>
      </c>
      <c r="W57" s="43">
        <f t="shared" si="21"/>
        <v>2.4034142677887773E-12</v>
      </c>
      <c r="X57" s="43">
        <f t="shared" si="8"/>
        <v>-2.4034142677887773E-12</v>
      </c>
      <c r="Y57" s="370">
        <f t="shared" si="22"/>
        <v>2.427448410466665E-10</v>
      </c>
      <c r="Z57" s="451">
        <f t="shared" si="9"/>
        <v>49</v>
      </c>
      <c r="AA57" s="216">
        <f t="shared" si="34"/>
        <v>0.04</v>
      </c>
      <c r="AB57" s="43">
        <f>IF(Z57&gt;'Test de compensation'!$G$122,0,'Calculs détaillés'!AB56)</f>
        <v>0</v>
      </c>
      <c r="AC57" s="43">
        <f t="shared" si="23"/>
        <v>0</v>
      </c>
      <c r="AD57" s="43">
        <f t="shared" si="11"/>
        <v>0</v>
      </c>
      <c r="AE57" s="43">
        <f t="shared" si="24"/>
        <v>0</v>
      </c>
      <c r="AF57" s="315" t="s">
        <v>107</v>
      </c>
      <c r="AG57" s="467">
        <f t="shared" si="25"/>
        <v>49</v>
      </c>
      <c r="AH57" s="316">
        <v>0</v>
      </c>
      <c r="AI57" s="57">
        <f>IF(Z57&gt;'Test de compensation'!$D$142,0,AI56+(AI56*B56))</f>
        <v>0</v>
      </c>
      <c r="AJ57" s="57">
        <f>IF(AG57&gt;'Test de compensation'!$D$142,0,'Calculs détaillés'!AJ56+(AJ56*B56))</f>
        <v>0</v>
      </c>
      <c r="AK57" s="57">
        <f>IF(AG57&gt;'Test de compensation'!$D$142,0,'Calculs détaillés'!AK56+(AK56*B56))</f>
        <v>0</v>
      </c>
      <c r="AL57" s="57">
        <f>IF(AG57&gt;'Test de compensation'!$D$142,0,'Calculs détaillés'!AL56+(AL56*B56))</f>
        <v>0</v>
      </c>
      <c r="AM57" s="57">
        <v>0</v>
      </c>
      <c r="AN57" s="57">
        <f>IF(AG57&gt;'Test de compensation'!$D$142,0,AN56)</f>
        <v>0</v>
      </c>
      <c r="AO57" s="203" t="s">
        <v>107</v>
      </c>
      <c r="AP57" s="136"/>
      <c r="AQ57" s="276">
        <v>0</v>
      </c>
      <c r="AR57" s="203"/>
      <c r="AS57" s="203"/>
      <c r="AT57" s="135"/>
      <c r="AU57" s="135"/>
      <c r="AV57" s="283"/>
      <c r="AW57" s="142"/>
      <c r="AX57" s="43"/>
    </row>
    <row r="58" spans="1:50" ht="13.5" thickBot="1">
      <c r="A58" s="44">
        <v>50</v>
      </c>
      <c r="B58" s="287">
        <f t="shared" si="31"/>
        <v>0.017</v>
      </c>
      <c r="C58" s="413">
        <f>IF(A58&gt;'Test de compensation'!$G$119,0,C57+(C57*B58))</f>
        <v>0</v>
      </c>
      <c r="D58" s="133">
        <f t="shared" si="32"/>
        <v>0.03</v>
      </c>
      <c r="E58" s="417">
        <f t="shared" si="1"/>
        <v>0</v>
      </c>
      <c r="F58" s="43">
        <f t="shared" si="13"/>
        <v>0</v>
      </c>
      <c r="G58" s="315">
        <f t="shared" si="2"/>
        <v>0</v>
      </c>
      <c r="H58" s="477">
        <f t="shared" si="3"/>
        <v>50</v>
      </c>
      <c r="I58" s="133">
        <f t="shared" si="33"/>
        <v>0.031</v>
      </c>
      <c r="J58" s="43">
        <f>IF(H58&gt;'Test de compensation'!$G$119,0,'Calculs détaillés'!J57)</f>
        <v>0</v>
      </c>
      <c r="K58" s="47">
        <f t="shared" si="14"/>
        <v>-1.3656445425343143E-10</v>
      </c>
      <c r="L58" s="43">
        <f t="shared" si="5"/>
        <v>1.3656445425343143E-10</v>
      </c>
      <c r="M58" s="370">
        <f t="shared" si="15"/>
        <v>-4.541869430170574E-09</v>
      </c>
      <c r="N58" s="451">
        <f t="shared" si="16"/>
        <v>50</v>
      </c>
      <c r="O58" s="320">
        <f t="shared" si="17"/>
        <v>0.031</v>
      </c>
      <c r="P58" s="314">
        <f>IF(N58&gt;'Test de compensation'!$G$120,0,'Calculs détaillés'!P57)</f>
        <v>11992.899018836059</v>
      </c>
      <c r="Q58" s="455">
        <f t="shared" si="18"/>
        <v>360.60123141017897</v>
      </c>
      <c r="R58" s="314">
        <f t="shared" si="6"/>
        <v>11632.29778742588</v>
      </c>
      <c r="S58" s="456">
        <f t="shared" si="19"/>
        <v>-7.512426236644387E-10</v>
      </c>
      <c r="T58" s="451">
        <f t="shared" si="7"/>
        <v>50</v>
      </c>
      <c r="U58" s="320">
        <f t="shared" si="20"/>
        <v>0.01</v>
      </c>
      <c r="V58" s="43">
        <f>IF(T58&gt;'Test de compensation'!$G$121,0,'Calculs détaillés'!V57)</f>
        <v>0</v>
      </c>
      <c r="W58" s="43">
        <f t="shared" si="21"/>
        <v>2.4274484104666653E-12</v>
      </c>
      <c r="X58" s="43">
        <f t="shared" si="8"/>
        <v>-2.4274484104666653E-12</v>
      </c>
      <c r="Y58" s="370">
        <f t="shared" si="22"/>
        <v>2.4517228945713316E-10</v>
      </c>
      <c r="Z58" s="451">
        <f t="shared" si="9"/>
        <v>50</v>
      </c>
      <c r="AA58" s="216">
        <f t="shared" si="34"/>
        <v>0.04</v>
      </c>
      <c r="AB58" s="43">
        <f>IF(Z58&gt;'Test de compensation'!$G$122,0,'Calculs détaillés'!AB57)</f>
        <v>0</v>
      </c>
      <c r="AC58" s="43">
        <f t="shared" si="23"/>
        <v>0</v>
      </c>
      <c r="AD58" s="43">
        <f t="shared" si="11"/>
        <v>0</v>
      </c>
      <c r="AE58" s="43">
        <f t="shared" si="24"/>
        <v>0</v>
      </c>
      <c r="AF58" s="315" t="s">
        <v>107</v>
      </c>
      <c r="AG58" s="467">
        <f t="shared" si="25"/>
        <v>50</v>
      </c>
      <c r="AH58" s="317">
        <v>0</v>
      </c>
      <c r="AI58" s="57">
        <f>IF(Z58&gt;'Test de compensation'!$D$142,0,AI57+(AI57*B57))</f>
        <v>0</v>
      </c>
      <c r="AJ58" s="57">
        <f>IF(AG58&gt;'Test de compensation'!$D$142,0,'Calculs détaillés'!AJ57+(AJ57*B57))</f>
        <v>0</v>
      </c>
      <c r="AK58" s="57">
        <f>IF(AG58&gt;'Test de compensation'!$D$142,0,'Calculs détaillés'!AK57+(AK57*B57))</f>
        <v>0</v>
      </c>
      <c r="AL58" s="57">
        <f>IF(AG58&gt;'Test de compensation'!$D$142,0,'Calculs détaillés'!AL57+(AL57*B57))</f>
        <v>0</v>
      </c>
      <c r="AM58" s="57">
        <v>0</v>
      </c>
      <c r="AN58" s="57">
        <f>IF(AG58&gt;'Test de compensation'!$D$142,0,AN57)</f>
        <v>0</v>
      </c>
      <c r="AO58" s="203" t="s">
        <v>107</v>
      </c>
      <c r="AP58" s="285"/>
      <c r="AQ58" s="276">
        <v>0</v>
      </c>
      <c r="AR58" s="203"/>
      <c r="AS58" s="203"/>
      <c r="AT58" s="135"/>
      <c r="AU58" s="135"/>
      <c r="AV58" s="283"/>
      <c r="AW58" s="142"/>
      <c r="AX58" s="43"/>
    </row>
    <row r="59" spans="1:50" ht="13.5" thickBot="1">
      <c r="A59" s="201" t="s">
        <v>128</v>
      </c>
      <c r="B59" s="201"/>
      <c r="C59" s="390">
        <f>SUM(C9:C58)</f>
        <v>3982716.6202961425</v>
      </c>
      <c r="D59" s="268" t="s">
        <v>107</v>
      </c>
      <c r="E59" s="201">
        <f>SUM(E9:E58)</f>
        <v>-119481.49860888426</v>
      </c>
      <c r="F59" s="268">
        <f>SUM(F9:F58)</f>
        <v>0</v>
      </c>
      <c r="G59" s="285">
        <f>SUM(G9:G58)</f>
        <v>3863235.1216872577</v>
      </c>
      <c r="H59" s="95"/>
      <c r="I59" s="268" t="s">
        <v>107</v>
      </c>
      <c r="J59" s="268"/>
      <c r="K59" s="201">
        <f>SUM(K9:K58)</f>
        <v>832313.5207334876</v>
      </c>
      <c r="L59" s="268">
        <f>SUM(L9:L58)</f>
        <v>1097200.000000005</v>
      </c>
      <c r="M59" s="371"/>
      <c r="N59" s="268"/>
      <c r="O59" s="268"/>
      <c r="P59" s="268" t="s">
        <v>107</v>
      </c>
      <c r="Q59" s="201">
        <f>SUM(Q9:Q48)</f>
        <v>278697.7106031891</v>
      </c>
      <c r="R59" s="268">
        <f>SUM(R9:R58)</f>
        <v>302800.0000000008</v>
      </c>
      <c r="S59" s="371"/>
      <c r="T59" s="268"/>
      <c r="U59" s="268"/>
      <c r="V59" s="268" t="s">
        <v>107</v>
      </c>
      <c r="W59" s="201">
        <f>SUM(W9:W58)</f>
        <v>16245.944671654199</v>
      </c>
      <c r="X59" s="268"/>
      <c r="Y59" s="371"/>
      <c r="Z59" s="268"/>
      <c r="AA59" s="268" t="s">
        <v>107</v>
      </c>
      <c r="AB59" s="268" t="s">
        <v>107</v>
      </c>
      <c r="AC59" s="201">
        <f>SUM(AC9:AC58)</f>
        <v>0</v>
      </c>
      <c r="AD59" s="268"/>
      <c r="AE59" s="371"/>
      <c r="AF59" s="134">
        <f>AC59+W59+Q59+K59</f>
        <v>1127257.176008331</v>
      </c>
      <c r="AG59" s="134"/>
      <c r="AH59" s="297">
        <f>SUM(AH9:AH48)</f>
        <v>0</v>
      </c>
      <c r="AI59" s="230">
        <f>SUM(AI9:AI58)</f>
        <v>0</v>
      </c>
      <c r="AJ59" s="230">
        <f>SUM(AJ9:AJ58)</f>
        <v>1070216.4706421606</v>
      </c>
      <c r="AK59" s="230">
        <f>SUM(AK9:AK58)</f>
        <v>70498.38655817408</v>
      </c>
      <c r="AL59" s="230">
        <f>SUM(AL9:AL58)</f>
        <v>489384.5106801209</v>
      </c>
      <c r="AM59" s="230">
        <f>AM9</f>
        <v>98622.07630000002</v>
      </c>
      <c r="AN59" s="229">
        <f>SUM(AN9:AN58)</f>
        <v>17400</v>
      </c>
      <c r="AO59" s="229">
        <f>'Test de compensation'!D75+'Calculs détaillés'!AF59+'Calculs détaillés'!AH59+'Calculs détaillés'!AI59+'Calculs détaillés'!AJ59+'Calculs détaillés'!AK59+'Calculs détaillés'!AL59+'Calculs détaillés'!AM59+'Calculs détaillés'!AN59</f>
        <v>4666507.280188787</v>
      </c>
      <c r="AP59" s="227">
        <f>AO59-G59</f>
        <v>803272.1585015291</v>
      </c>
      <c r="AQ59" s="228">
        <f>SUM(AQ9:AQ58)</f>
        <v>254353</v>
      </c>
      <c r="AR59" s="229">
        <f>SUM(AR9:AR58)</f>
        <v>240354.18222183283</v>
      </c>
      <c r="AS59" s="229">
        <f>SUM(AS9:AS58)</f>
        <v>249030.32845828822</v>
      </c>
      <c r="AT59" s="230">
        <f>SUM(AT9:AT58)</f>
        <v>503383.3284582883</v>
      </c>
      <c r="AU59" s="230">
        <f>SUM(AU9:AU58)</f>
        <v>145190.41976282152</v>
      </c>
      <c r="AV59" s="230">
        <f>AP59+AU59</f>
        <v>948462.5782643507</v>
      </c>
      <c r="AW59" s="229">
        <f>AV59-AT59</f>
        <v>445079.2498060624</v>
      </c>
      <c r="AX59" s="1"/>
    </row>
    <row r="60" spans="1:49" ht="13.5" thickBot="1">
      <c r="A60" s="57" t="s">
        <v>107</v>
      </c>
      <c r="B60" s="57"/>
      <c r="C60" s="57"/>
      <c r="D60" s="57"/>
      <c r="E60" s="57"/>
      <c r="F60" s="57"/>
      <c r="G60" s="95" t="s">
        <v>107</v>
      </c>
      <c r="H60" s="454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31" t="s">
        <v>107</v>
      </c>
      <c r="AB60" s="531"/>
      <c r="AC60" s="325"/>
      <c r="AD60" s="325"/>
      <c r="AE60" s="325"/>
      <c r="AF60" s="398" t="s">
        <v>107</v>
      </c>
      <c r="AG60" s="398"/>
      <c r="AH60" s="398"/>
      <c r="AI60" s="262"/>
      <c r="AJ60" s="262"/>
      <c r="AK60" s="262"/>
      <c r="AL60" s="262"/>
      <c r="AM60" s="262"/>
      <c r="AN60" s="262"/>
      <c r="AO60" s="270" t="s">
        <v>107</v>
      </c>
      <c r="AP60" s="323" t="s">
        <v>107</v>
      </c>
      <c r="AQ60" s="171"/>
      <c r="AR60" s="171"/>
      <c r="AS60" s="267"/>
      <c r="AT60" s="278">
        <f>AT59/AA3*10%</f>
        <v>1258.458321145721</v>
      </c>
      <c r="AU60" s="43" t="s">
        <v>107</v>
      </c>
      <c r="AV60" s="43" t="s">
        <v>107</v>
      </c>
      <c r="AW60" s="215" t="s">
        <v>107</v>
      </c>
    </row>
    <row r="61" spans="1:49" ht="13.5" thickBot="1">
      <c r="A61" s="95" t="s">
        <v>318</v>
      </c>
      <c r="B61" s="57"/>
      <c r="C61" s="310" t="s">
        <v>319</v>
      </c>
      <c r="D61" s="295"/>
      <c r="E61" s="295"/>
      <c r="F61" s="295"/>
      <c r="G61" s="343"/>
      <c r="H61" s="343"/>
      <c r="I61" s="356" t="s">
        <v>320</v>
      </c>
      <c r="J61" s="356"/>
      <c r="K61" s="356"/>
      <c r="L61" s="356"/>
      <c r="M61" s="356"/>
      <c r="N61" s="356"/>
      <c r="O61" s="356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310"/>
      <c r="AG61" s="310"/>
      <c r="AH61" s="341" t="s">
        <v>107</v>
      </c>
      <c r="AI61" s="233"/>
      <c r="AJ61" s="233"/>
      <c r="AK61" s="233"/>
      <c r="AL61" s="233"/>
      <c r="AM61" s="233"/>
      <c r="AN61" s="233"/>
      <c r="AO61" s="233"/>
      <c r="AP61" s="233"/>
      <c r="AQ61" s="341" t="s">
        <v>321</v>
      </c>
      <c r="AR61" s="233"/>
      <c r="AS61" s="233"/>
      <c r="AT61" s="43"/>
      <c r="AU61" s="341" t="s">
        <v>155</v>
      </c>
      <c r="AV61" s="358"/>
      <c r="AW61" s="319"/>
    </row>
    <row r="62" spans="1:49" ht="13.5" thickBot="1">
      <c r="A62" s="349" t="s">
        <v>122</v>
      </c>
      <c r="B62" s="349"/>
      <c r="C62" s="349" t="s">
        <v>122</v>
      </c>
      <c r="D62" s="349"/>
      <c r="E62" s="349"/>
      <c r="F62" s="349"/>
      <c r="G62" s="350"/>
      <c r="H62" s="350"/>
      <c r="I62" s="355" t="s">
        <v>122</v>
      </c>
      <c r="J62" s="355"/>
      <c r="K62" s="355" t="s">
        <v>122</v>
      </c>
      <c r="L62" s="355"/>
      <c r="M62" s="355"/>
      <c r="N62" s="355"/>
      <c r="O62" s="355"/>
      <c r="P62" s="349"/>
      <c r="Q62" s="349" t="s">
        <v>122</v>
      </c>
      <c r="R62" s="349"/>
      <c r="S62" s="349"/>
      <c r="T62" s="349"/>
      <c r="U62" s="349"/>
      <c r="V62" s="349"/>
      <c r="W62" s="349" t="s">
        <v>122</v>
      </c>
      <c r="X62" s="349"/>
      <c r="Y62" s="349"/>
      <c r="Z62" s="349"/>
      <c r="AA62" s="349"/>
      <c r="AB62" s="349"/>
      <c r="AC62" s="349" t="s">
        <v>122</v>
      </c>
      <c r="AD62" s="349"/>
      <c r="AE62" s="349"/>
      <c r="AF62" s="349" t="s">
        <v>122</v>
      </c>
      <c r="AG62" s="349"/>
      <c r="AH62" s="351" t="s">
        <v>107</v>
      </c>
      <c r="AI62" s="351"/>
      <c r="AJ62" s="351"/>
      <c r="AK62" s="351"/>
      <c r="AL62" s="351"/>
      <c r="AM62" s="351"/>
      <c r="AN62" s="351"/>
      <c r="AO62" s="352"/>
      <c r="AP62" s="352"/>
      <c r="AQ62" s="351" t="s">
        <v>122</v>
      </c>
      <c r="AR62" s="351"/>
      <c r="AS62" s="351"/>
      <c r="AT62" s="353"/>
      <c r="AU62" s="9" t="s">
        <v>122</v>
      </c>
      <c r="AV62" s="347"/>
      <c r="AW62" s="348"/>
    </row>
    <row r="63" spans="1:49" ht="42" thickBot="1">
      <c r="A63" s="346" t="s">
        <v>107</v>
      </c>
      <c r="B63" s="344"/>
      <c r="C63" s="266" t="s">
        <v>169</v>
      </c>
      <c r="D63" s="266" t="s">
        <v>272</v>
      </c>
      <c r="E63" s="266" t="s">
        <v>170</v>
      </c>
      <c r="F63" s="266" t="s">
        <v>204</v>
      </c>
      <c r="G63" s="354" t="s">
        <v>153</v>
      </c>
      <c r="H63" s="387"/>
      <c r="I63" s="57" t="s">
        <v>107</v>
      </c>
      <c r="J63" s="57"/>
      <c r="K63" s="266" t="s">
        <v>336</v>
      </c>
      <c r="L63" s="57"/>
      <c r="M63" s="57"/>
      <c r="N63" s="57"/>
      <c r="O63" s="57"/>
      <c r="P63" s="57"/>
      <c r="Q63" s="266" t="s">
        <v>7</v>
      </c>
      <c r="R63" s="57"/>
      <c r="S63" s="57"/>
      <c r="T63" s="57"/>
      <c r="U63" s="57"/>
      <c r="V63" s="57"/>
      <c r="W63" s="266" t="s">
        <v>38</v>
      </c>
      <c r="X63" s="57"/>
      <c r="Y63" s="57"/>
      <c r="Z63" s="57"/>
      <c r="AA63" s="57"/>
      <c r="AB63" s="57"/>
      <c r="AC63" s="266" t="s">
        <v>43</v>
      </c>
      <c r="AD63" s="57"/>
      <c r="AE63" s="57"/>
      <c r="AF63" s="354" t="s">
        <v>66</v>
      </c>
      <c r="AG63" s="387"/>
      <c r="AH63" s="421" t="s">
        <v>217</v>
      </c>
      <c r="AI63" s="421" t="s">
        <v>329</v>
      </c>
      <c r="AJ63" s="515" t="s">
        <v>269</v>
      </c>
      <c r="AK63" s="515"/>
      <c r="AL63" s="421" t="s">
        <v>40</v>
      </c>
      <c r="AM63" s="421" t="s">
        <v>42</v>
      </c>
      <c r="AN63" s="421" t="s">
        <v>265</v>
      </c>
      <c r="AO63" s="308" t="s">
        <v>156</v>
      </c>
      <c r="AP63" s="309" t="s">
        <v>238</v>
      </c>
      <c r="AQ63" s="421" t="s">
        <v>171</v>
      </c>
      <c r="AR63" s="307" t="s">
        <v>77</v>
      </c>
      <c r="AS63" s="421" t="s">
        <v>84</v>
      </c>
      <c r="AT63" s="271" t="s">
        <v>321</v>
      </c>
      <c r="AU63" s="272" t="s">
        <v>113</v>
      </c>
      <c r="AV63" s="272" t="s">
        <v>114</v>
      </c>
      <c r="AW63" s="273" t="s">
        <v>239</v>
      </c>
    </row>
    <row r="64" spans="1:49" ht="13.5" thickBot="1">
      <c r="A64" s="345" t="s">
        <v>107</v>
      </c>
      <c r="B64" s="345"/>
      <c r="C64" s="169">
        <f>NPV(D2,C9:C58)</f>
        <v>2766359.504424785</v>
      </c>
      <c r="D64" s="296">
        <f>D9</f>
        <v>0.03</v>
      </c>
      <c r="E64" s="169">
        <f>NPV(D2,E9:E58)</f>
        <v>-82990.78513274348</v>
      </c>
      <c r="F64" s="403">
        <f>NPV(D2,F9:F58)</f>
        <v>0</v>
      </c>
      <c r="G64" s="169">
        <f>NPV(D2,G9:G58)</f>
        <v>2683368.719292041</v>
      </c>
      <c r="H64" s="453"/>
      <c r="I64" s="172" t="s">
        <v>107</v>
      </c>
      <c r="J64" s="172"/>
      <c r="K64" s="378">
        <f>NPV(B9,K9:K58)</f>
        <v>652205.8952238067</v>
      </c>
      <c r="L64" s="172"/>
      <c r="M64" s="172"/>
      <c r="N64" s="172"/>
      <c r="O64" s="172"/>
      <c r="P64" s="172" t="s">
        <v>107</v>
      </c>
      <c r="Q64" s="378">
        <f>NPV(D2,Q9:Q48)</f>
        <v>210524.71873445637</v>
      </c>
      <c r="R64" s="172"/>
      <c r="S64" s="172"/>
      <c r="T64" s="172"/>
      <c r="U64" s="172"/>
      <c r="V64" s="172" t="s">
        <v>107</v>
      </c>
      <c r="W64" s="378">
        <f>NPV(D2,W9:W58)</f>
        <v>14376.522384404368</v>
      </c>
      <c r="X64" s="172"/>
      <c r="Y64" s="172"/>
      <c r="Z64" s="172"/>
      <c r="AA64" s="172" t="s">
        <v>107</v>
      </c>
      <c r="AB64" s="172" t="s">
        <v>107</v>
      </c>
      <c r="AC64" s="378">
        <f>NPV(D2,AC9:AC58)</f>
        <v>0</v>
      </c>
      <c r="AD64" s="172"/>
      <c r="AE64" s="172"/>
      <c r="AF64" s="229">
        <f>AC64+W64+Q64+K64</f>
        <v>877107.1363426675</v>
      </c>
      <c r="AG64" s="229"/>
      <c r="AH64" s="231">
        <f>AH59</f>
        <v>0</v>
      </c>
      <c r="AI64" s="170">
        <f>NPV(B9,AI9:AI58)</f>
        <v>0</v>
      </c>
      <c r="AJ64" s="169">
        <f>NPV(D2,AJ9:AJ58)</f>
        <v>743362.8318584084</v>
      </c>
      <c r="AK64" s="170">
        <f>NPV(D2,AK9:AK58)</f>
        <v>48967.551622419</v>
      </c>
      <c r="AL64" s="170">
        <f>NPV(D2,AL9:AL58)</f>
        <v>339922.1238938059</v>
      </c>
      <c r="AM64" s="170">
        <f>AM59</f>
        <v>98622.07630000002</v>
      </c>
      <c r="AN64" s="170">
        <f>NPV(D2,AN9:AN58)</f>
        <v>12550.498217427743</v>
      </c>
      <c r="AO64" s="170">
        <f>'Test de compensation'!D75+'Calculs détaillés'!AF64+'Calculs détaillés'!AH64+'Calculs détaillés'!AI64+'Calculs détaillés'!AJ64+'Calculs détaillés'!AK64+'Calculs détaillés'!AL64+'Calculs détaillés'!AM64+'Calculs détaillés'!AN64</f>
        <v>3913660.8782347282</v>
      </c>
      <c r="AP64" s="170">
        <f>AO64-G64</f>
        <v>1230292.1589426873</v>
      </c>
      <c r="AQ64" s="170">
        <f>AQ59</f>
        <v>254353</v>
      </c>
      <c r="AR64" s="359">
        <f>NPV(D2,AR9:AR58)</f>
        <v>144466.90265486762</v>
      </c>
      <c r="AS64" s="170">
        <f>NPV(D2,AS9:AS58)</f>
        <v>195455.22123893836</v>
      </c>
      <c r="AT64" s="169">
        <f>AQ64+AS64</f>
        <v>449808.2212389384</v>
      </c>
      <c r="AU64" s="169">
        <f>NPV(D2,AU9:AU58)</f>
        <v>104724.83358740684</v>
      </c>
      <c r="AV64" s="169">
        <f>AP64+AU64</f>
        <v>1335016.9925300942</v>
      </c>
      <c r="AW64" s="170">
        <f>AV64-AT64</f>
        <v>885208.7712911558</v>
      </c>
    </row>
    <row r="65" spans="1:49" ht="13.5" thickBot="1">
      <c r="A65" s="519" t="s">
        <v>107</v>
      </c>
      <c r="B65" s="519"/>
      <c r="C65" s="520"/>
      <c r="D65" s="520"/>
      <c r="E65" s="418"/>
      <c r="F65" s="418"/>
      <c r="G65" s="418">
        <f>C64+E64+F64</f>
        <v>2683368.7192920414</v>
      </c>
      <c r="H65" s="418"/>
      <c r="I65" s="394" t="s">
        <v>107</v>
      </c>
      <c r="J65" s="394"/>
      <c r="K65" s="394"/>
      <c r="L65" s="394"/>
      <c r="M65" s="394"/>
      <c r="N65" s="394"/>
      <c r="O65" s="394"/>
      <c r="P65" s="394" t="s">
        <v>107</v>
      </c>
      <c r="Q65" s="394" t="s">
        <v>107</v>
      </c>
      <c r="R65" s="394"/>
      <c r="S65" s="394"/>
      <c r="T65" s="394"/>
      <c r="U65" s="394"/>
      <c r="V65" s="394" t="s">
        <v>107</v>
      </c>
      <c r="W65" s="394" t="s">
        <v>107</v>
      </c>
      <c r="X65" s="394"/>
      <c r="Y65" s="394"/>
      <c r="Z65" s="394"/>
      <c r="AA65" s="394" t="s">
        <v>107</v>
      </c>
      <c r="AB65" s="394" t="s">
        <v>107</v>
      </c>
      <c r="AC65" s="394"/>
      <c r="AD65" s="394"/>
      <c r="AE65" s="394"/>
      <c r="AF65" s="398" t="s">
        <v>107</v>
      </c>
      <c r="AG65" s="95"/>
      <c r="AH65" s="419"/>
      <c r="AI65" s="419"/>
      <c r="AJ65" s="419"/>
      <c r="AK65" s="419"/>
      <c r="AL65" s="419"/>
      <c r="AM65" s="419"/>
      <c r="AN65" s="419"/>
      <c r="AO65" s="420" t="s">
        <v>107</v>
      </c>
      <c r="AP65" s="420" t="s">
        <v>107</v>
      </c>
      <c r="AQ65" s="419"/>
      <c r="AR65" s="419"/>
      <c r="AS65" s="419"/>
      <c r="AT65" s="169">
        <f>AT64/AA3*10%</f>
        <v>1124.520553097346</v>
      </c>
      <c r="AU65" s="437" t="s">
        <v>67</v>
      </c>
      <c r="AV65" s="438"/>
      <c r="AW65" s="438"/>
    </row>
    <row r="66" spans="1:47" ht="12.75">
      <c r="A66" s="517" t="s">
        <v>107</v>
      </c>
      <c r="B66" s="517"/>
      <c r="C66" s="518"/>
      <c r="D66" s="518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95"/>
      <c r="AD66" s="95"/>
      <c r="AE66" s="95"/>
      <c r="AF66" s="95"/>
      <c r="AG66" s="95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U66" s="205"/>
    </row>
    <row r="67" spans="1:45" ht="12.75">
      <c r="A67" s="49" t="s">
        <v>107</v>
      </c>
      <c r="B67" s="49"/>
      <c r="C67" s="49"/>
      <c r="D67" s="49"/>
      <c r="E67" s="49"/>
      <c r="F67" s="49"/>
      <c r="G67" s="58" t="s">
        <v>107</v>
      </c>
      <c r="H67" s="58"/>
      <c r="I67" s="49" t="s">
        <v>107</v>
      </c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173" t="s">
        <v>107</v>
      </c>
      <c r="AG67" s="173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</row>
    <row r="69" ht="12.75">
      <c r="AO69" s="246"/>
    </row>
    <row r="70" ht="12.75">
      <c r="AO70" s="246"/>
    </row>
  </sheetData>
  <sheetProtection/>
  <mergeCells count="16">
    <mergeCell ref="A66:D66"/>
    <mergeCell ref="A65:D65"/>
    <mergeCell ref="C4:G4"/>
    <mergeCell ref="I5:M5"/>
    <mergeCell ref="D5:E5"/>
    <mergeCell ref="A4:B5"/>
    <mergeCell ref="H4:AP4"/>
    <mergeCell ref="AA60:AB60"/>
    <mergeCell ref="AJ5:AK5"/>
    <mergeCell ref="O5:S5"/>
    <mergeCell ref="AU65:AW65"/>
    <mergeCell ref="AQ4:AT4"/>
    <mergeCell ref="U5:Y5"/>
    <mergeCell ref="AA5:AE5"/>
    <mergeCell ref="AJ63:AK63"/>
    <mergeCell ref="AR5:AS5"/>
  </mergeCells>
  <hyperlinks>
    <hyperlink ref="AA1" r:id="rId1" display="Question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1.57421875" style="213" customWidth="1"/>
    <col min="4" max="4" width="13.140625" style="213" customWidth="1"/>
    <col min="5" max="6" width="11.57421875" style="213" customWidth="1"/>
    <col min="7" max="7" width="11.57421875" style="1" customWidth="1"/>
    <col min="8" max="8" width="6.140625" style="0" customWidth="1"/>
  </cols>
  <sheetData>
    <row r="1" spans="1:7" s="2" customFormat="1" ht="12.75">
      <c r="A1" s="220" t="s">
        <v>71</v>
      </c>
      <c r="B1" s="220"/>
      <c r="C1" s="220"/>
      <c r="D1" s="220"/>
      <c r="E1" s="253"/>
      <c r="F1" s="220"/>
      <c r="G1" t="s">
        <v>107</v>
      </c>
    </row>
    <row r="2" spans="1:7" s="2" customFormat="1" ht="12.75">
      <c r="A2" s="220" t="s">
        <v>44</v>
      </c>
      <c r="B2" s="220"/>
      <c r="C2" s="220"/>
      <c r="D2" s="220"/>
      <c r="E2" s="253"/>
      <c r="F2" s="220"/>
      <c r="G2" s="253"/>
    </row>
    <row r="3" spans="1:7" s="2" customFormat="1" ht="12.75">
      <c r="A3" s="220"/>
      <c r="B3" s="220"/>
      <c r="C3" s="220"/>
      <c r="D3" s="220"/>
      <c r="E3" s="220"/>
      <c r="F3" s="220"/>
      <c r="G3" s="214"/>
    </row>
    <row r="4" s="1" customFormat="1" ht="9.75">
      <c r="A4" s="214" t="s">
        <v>185</v>
      </c>
    </row>
    <row r="5" s="1" customFormat="1" ht="9.75">
      <c r="A5" s="6" t="s">
        <v>3</v>
      </c>
    </row>
    <row r="6" s="1" customFormat="1" ht="9.75">
      <c r="A6" s="6"/>
    </row>
    <row r="7" s="1" customFormat="1" ht="9.75">
      <c r="A7" s="214" t="s">
        <v>234</v>
      </c>
    </row>
    <row r="9" spans="1:6" s="214" customFormat="1" ht="9.75">
      <c r="A9" s="214" t="s">
        <v>188</v>
      </c>
      <c r="E9" s="158" t="s">
        <v>393</v>
      </c>
      <c r="F9" s="214" t="s">
        <v>107</v>
      </c>
    </row>
    <row r="10" spans="1:5" s="214" customFormat="1" ht="9.75">
      <c r="A10" s="214" t="s">
        <v>45</v>
      </c>
      <c r="E10" s="380" t="s">
        <v>225</v>
      </c>
    </row>
    <row r="11" s="214" customFormat="1" ht="9.75"/>
    <row r="12" spans="1:8" s="221" customFormat="1" ht="12.75">
      <c r="A12" s="214" t="s">
        <v>91</v>
      </c>
      <c r="B12" s="6"/>
      <c r="C12" s="6"/>
      <c r="D12" s="6"/>
      <c r="E12" s="6"/>
      <c r="F12" s="6"/>
      <c r="G12" s="6"/>
      <c r="H12" s="6"/>
    </row>
    <row r="13" spans="1:8" s="221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63</v>
      </c>
      <c r="B14" s="6"/>
      <c r="C14" s="6"/>
      <c r="D14" s="6"/>
      <c r="E14" s="6"/>
      <c r="F14" s="6"/>
      <c r="G14" s="252">
        <f>'Test de compensation'!G119</f>
        <v>40</v>
      </c>
      <c r="H14" s="110" t="s">
        <v>182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214" t="s">
        <v>46</v>
      </c>
      <c r="B16" s="214"/>
      <c r="C16" s="214"/>
      <c r="D16" s="214"/>
      <c r="E16" s="214"/>
      <c r="F16" s="214"/>
      <c r="G16" s="214"/>
      <c r="H16" s="214"/>
    </row>
    <row r="17" spans="1:8" ht="12.75">
      <c r="A17" s="6"/>
      <c r="B17" s="6" t="s">
        <v>235</v>
      </c>
      <c r="C17" s="6"/>
      <c r="D17" s="6"/>
      <c r="E17" s="6"/>
      <c r="F17" s="6"/>
      <c r="G17" s="215">
        <f>'Test de compensation'!D117</f>
        <v>87397.74</v>
      </c>
      <c r="H17" s="217">
        <f>G17/G20</f>
        <v>0.0461993951697886</v>
      </c>
    </row>
    <row r="18" spans="1:8" ht="12.75">
      <c r="A18" s="6"/>
      <c r="B18" s="6" t="s">
        <v>237</v>
      </c>
      <c r="C18" s="6"/>
      <c r="D18" s="6"/>
      <c r="E18" s="6"/>
      <c r="F18" s="6"/>
      <c r="G18" s="215">
        <f>'Test de compensation'!D126</f>
        <v>1550000</v>
      </c>
      <c r="H18" s="217">
        <f>G18/G20</f>
        <v>0.8193468448174097</v>
      </c>
    </row>
    <row r="19" spans="1:13" ht="13.5" thickBot="1">
      <c r="A19" s="6"/>
      <c r="B19" s="6" t="s">
        <v>236</v>
      </c>
      <c r="C19" s="6"/>
      <c r="D19" s="6"/>
      <c r="E19" s="6"/>
      <c r="F19" s="6"/>
      <c r="G19" s="219">
        <f>'Test de compensation'!D116</f>
        <v>254353</v>
      </c>
      <c r="H19" s="217">
        <f>G19/G20</f>
        <v>0.13445376001280168</v>
      </c>
      <c r="J19" t="s">
        <v>107</v>
      </c>
      <c r="K19" t="s">
        <v>107</v>
      </c>
      <c r="L19" t="s">
        <v>107</v>
      </c>
      <c r="M19" t="s">
        <v>107</v>
      </c>
    </row>
    <row r="20" spans="1:13" ht="13.5" thickBot="1">
      <c r="A20" s="6"/>
      <c r="B20" s="6" t="s">
        <v>356</v>
      </c>
      <c r="C20" s="6"/>
      <c r="D20" s="6"/>
      <c r="E20" s="6"/>
      <c r="F20" s="6"/>
      <c r="G20" s="134">
        <f>SUM(G17:G19)</f>
        <v>1891750.74</v>
      </c>
      <c r="H20" s="217">
        <f>SUM(H17:H19)</f>
        <v>1</v>
      </c>
      <c r="J20" t="s">
        <v>107</v>
      </c>
      <c r="K20" t="s">
        <v>107</v>
      </c>
      <c r="L20" t="s">
        <v>107</v>
      </c>
      <c r="M20" t="s">
        <v>107</v>
      </c>
    </row>
    <row r="21" spans="1:12" ht="12.75">
      <c r="A21" s="214" t="s">
        <v>189</v>
      </c>
      <c r="B21" s="214"/>
      <c r="C21" s="6"/>
      <c r="D21" s="6"/>
      <c r="E21" s="6"/>
      <c r="F21" s="6"/>
      <c r="G21" s="47"/>
      <c r="H21" s="217"/>
      <c r="L21" t="s">
        <v>107</v>
      </c>
    </row>
    <row r="22" spans="1:8" ht="12.75">
      <c r="A22" s="214"/>
      <c r="B22" s="6" t="s">
        <v>64</v>
      </c>
      <c r="C22" s="6"/>
      <c r="D22" s="6"/>
      <c r="E22" s="6"/>
      <c r="F22" s="6"/>
      <c r="G22" s="401">
        <f>'Test de compensation'!D70</f>
        <v>15</v>
      </c>
      <c r="H22" s="217" t="s">
        <v>47</v>
      </c>
    </row>
    <row r="23" spans="1:8" ht="12.75">
      <c r="A23" s="6"/>
      <c r="B23" s="6" t="s">
        <v>281</v>
      </c>
      <c r="C23" s="6"/>
      <c r="D23" s="6"/>
      <c r="E23" s="6"/>
      <c r="F23" s="6"/>
      <c r="G23" s="215">
        <f>G20*0.000012</f>
        <v>22.70100888</v>
      </c>
      <c r="H23" s="217" t="s">
        <v>337</v>
      </c>
    </row>
    <row r="24" spans="1:8" ht="12.75">
      <c r="A24" s="6"/>
      <c r="B24" s="6" t="s">
        <v>74</v>
      </c>
      <c r="C24" s="6"/>
      <c r="D24" s="6"/>
      <c r="E24" s="6"/>
      <c r="F24" s="6"/>
      <c r="G24" s="215">
        <f>'Test de compensation'!D81</f>
        <v>98622.07630000007</v>
      </c>
      <c r="H24" s="6"/>
    </row>
    <row r="25" spans="1:8" ht="12.75">
      <c r="A25" s="6"/>
      <c r="B25" s="6" t="s">
        <v>282</v>
      </c>
      <c r="C25" s="6"/>
      <c r="D25" s="6"/>
      <c r="E25" s="6"/>
      <c r="F25" s="6"/>
      <c r="G25" s="215">
        <f>'Calculs détaillés'!AR64</f>
        <v>144466.90265486762</v>
      </c>
      <c r="H25" s="6"/>
    </row>
    <row r="26" spans="1:8" ht="12.75">
      <c r="A26" s="6"/>
      <c r="B26" s="6" t="s">
        <v>285</v>
      </c>
      <c r="C26" s="6"/>
      <c r="D26" s="6"/>
      <c r="E26" s="6"/>
      <c r="F26" s="6"/>
      <c r="G26" s="47">
        <f>SUM(G24:G25)</f>
        <v>243088.9789548677</v>
      </c>
      <c r="H26" s="6"/>
    </row>
    <row r="27" spans="1:8" ht="13.5" thickBot="1">
      <c r="A27" s="6"/>
      <c r="B27" s="6"/>
      <c r="C27" s="6"/>
      <c r="D27" s="6"/>
      <c r="E27" s="6"/>
      <c r="F27" s="6"/>
      <c r="G27" s="215"/>
      <c r="H27" s="6"/>
    </row>
    <row r="28" spans="1:8" s="2" customFormat="1" ht="13.5" thickBot="1">
      <c r="A28" s="214" t="s">
        <v>100</v>
      </c>
      <c r="B28" s="214"/>
      <c r="C28" s="214"/>
      <c r="D28" s="214"/>
      <c r="E28" s="214"/>
      <c r="F28" s="214"/>
      <c r="G28" s="134">
        <f>G39-G44</f>
        <v>1230292.1589426883</v>
      </c>
      <c r="H28" s="214"/>
    </row>
    <row r="29" spans="1:8" s="2" customFormat="1" ht="12.75">
      <c r="A29" s="214" t="s">
        <v>405</v>
      </c>
      <c r="B29" s="214"/>
      <c r="C29" s="214"/>
      <c r="D29" s="214"/>
      <c r="E29" s="214"/>
      <c r="F29" s="214"/>
      <c r="G29" s="214"/>
      <c r="H29" s="214"/>
    </row>
    <row r="30" spans="1:8" ht="12.75">
      <c r="A30" s="6"/>
      <c r="B30" s="6" t="s">
        <v>75</v>
      </c>
      <c r="C30" s="6"/>
      <c r="D30" s="6"/>
      <c r="E30" s="6"/>
      <c r="F30" s="6"/>
      <c r="G30" s="215">
        <f>'Test de compensation'!D149</f>
        <v>1793128.6600000001</v>
      </c>
      <c r="H30" s="217">
        <f>G30/G39</f>
        <v>0.4581717005610351</v>
      </c>
    </row>
    <row r="31" spans="1:8" ht="12.75">
      <c r="A31" s="6"/>
      <c r="B31" s="6" t="s">
        <v>353</v>
      </c>
      <c r="C31" s="6"/>
      <c r="D31" s="6"/>
      <c r="E31" s="6"/>
      <c r="F31" s="6"/>
      <c r="G31" s="215">
        <f>'Test de compensation'!D150</f>
        <v>98622.07630000007</v>
      </c>
      <c r="H31" s="217">
        <f>G31/G39</f>
        <v>0.02519944353085695</v>
      </c>
    </row>
    <row r="32" spans="1:8" ht="12.75">
      <c r="A32" s="6"/>
      <c r="B32" s="6" t="s">
        <v>388</v>
      </c>
      <c r="C32" s="6"/>
      <c r="D32" s="6"/>
      <c r="E32" s="6"/>
      <c r="F32" s="6"/>
      <c r="G32" s="215">
        <f>'Test de compensation'!D151</f>
        <v>877107.1363426675</v>
      </c>
      <c r="H32" s="217">
        <f>G32/G39</f>
        <v>0.22411424076638184</v>
      </c>
    </row>
    <row r="33" spans="1:8" ht="12.75">
      <c r="A33" s="6"/>
      <c r="B33" s="6" t="s">
        <v>338</v>
      </c>
      <c r="C33" s="6"/>
      <c r="D33" s="6"/>
      <c r="E33" s="6"/>
      <c r="F33" s="6"/>
      <c r="G33" s="219">
        <f>'Test de compensation'!D152</f>
        <v>0</v>
      </c>
      <c r="H33" s="217">
        <f>G33/G39</f>
        <v>0</v>
      </c>
    </row>
    <row r="34" spans="1:8" ht="12.75">
      <c r="A34" s="6"/>
      <c r="B34" s="6" t="s">
        <v>354</v>
      </c>
      <c r="C34" s="6"/>
      <c r="D34" s="6"/>
      <c r="E34" s="6"/>
      <c r="F34" s="6"/>
      <c r="G34" s="219">
        <f>'Calculs détaillés'!AI59</f>
        <v>0</v>
      </c>
      <c r="H34" s="217">
        <f>G34/G39</f>
        <v>0</v>
      </c>
    </row>
    <row r="35" spans="1:8" ht="12.75">
      <c r="A35" s="6"/>
      <c r="B35" s="6" t="s">
        <v>89</v>
      </c>
      <c r="C35" s="6"/>
      <c r="D35" s="6"/>
      <c r="E35" s="6"/>
      <c r="F35" s="6"/>
      <c r="G35" s="219">
        <f>'Test de compensation'!D154</f>
        <v>743362.8318584084</v>
      </c>
      <c r="H35" s="217">
        <f>G35/G39</f>
        <v>0.18994053265895253</v>
      </c>
    </row>
    <row r="36" spans="1:8" ht="12.75">
      <c r="A36" s="6"/>
      <c r="B36" s="6" t="s">
        <v>90</v>
      </c>
      <c r="C36" s="6"/>
      <c r="D36" s="6"/>
      <c r="E36" s="6"/>
      <c r="F36" s="6"/>
      <c r="G36" s="219">
        <f>'Test de compensation'!D155</f>
        <v>48967.551622419</v>
      </c>
      <c r="H36" s="217">
        <f>G36/G39</f>
        <v>0.012511955722772278</v>
      </c>
    </row>
    <row r="37" spans="1:8" ht="12.75">
      <c r="A37" s="6"/>
      <c r="B37" s="6" t="s">
        <v>4</v>
      </c>
      <c r="C37" s="6"/>
      <c r="D37" s="6"/>
      <c r="E37" s="6"/>
      <c r="F37" s="6"/>
      <c r="G37" s="219">
        <f>'Test de compensation'!D156</f>
        <v>339922.1238938059</v>
      </c>
      <c r="H37" s="217">
        <f>G37/G39</f>
        <v>0.08685528319130424</v>
      </c>
    </row>
    <row r="38" spans="1:8" ht="13.5" thickBot="1">
      <c r="A38" s="6"/>
      <c r="B38" s="6" t="s">
        <v>394</v>
      </c>
      <c r="C38" s="6"/>
      <c r="D38" s="6"/>
      <c r="E38" s="6"/>
      <c r="F38" s="6"/>
      <c r="G38" s="219">
        <f>'Test de compensation'!D157</f>
        <v>12550.498217427743</v>
      </c>
      <c r="H38" s="217">
        <f>G38/G39</f>
        <v>0.0032068435686969103</v>
      </c>
    </row>
    <row r="39" spans="1:8" ht="13.5" thickBot="1">
      <c r="A39" s="6"/>
      <c r="B39" s="214" t="s">
        <v>156</v>
      </c>
      <c r="C39" s="6"/>
      <c r="D39" s="6"/>
      <c r="E39" s="6"/>
      <c r="F39" s="6"/>
      <c r="G39" s="134">
        <f>SUM(G30:G38)</f>
        <v>3913660.878234729</v>
      </c>
      <c r="H39" s="217">
        <f>SUM(H30:H38)</f>
        <v>0.9999999999999999</v>
      </c>
    </row>
    <row r="40" spans="1:8" s="2" customFormat="1" ht="12.75">
      <c r="A40" s="214" t="s">
        <v>48</v>
      </c>
      <c r="B40" s="214"/>
      <c r="C40" s="214"/>
      <c r="D40" s="214"/>
      <c r="E40" s="214"/>
      <c r="F40" s="214"/>
      <c r="G40" s="214"/>
      <c r="H40" s="218"/>
    </row>
    <row r="41" spans="1:8" ht="12.75">
      <c r="A41" s="6"/>
      <c r="B41" s="6" t="s">
        <v>339</v>
      </c>
      <c r="C41" s="6"/>
      <c r="D41" s="6"/>
      <c r="E41" s="6"/>
      <c r="F41" s="6"/>
      <c r="G41" s="215">
        <f>'Test de compensation'!C160</f>
        <v>2766359.504424785</v>
      </c>
      <c r="H41" s="217">
        <f>G41/G44</f>
        <v>1.0309278350515465</v>
      </c>
    </row>
    <row r="42" spans="1:8" ht="12.75">
      <c r="A42" s="6"/>
      <c r="B42" s="6" t="s">
        <v>340</v>
      </c>
      <c r="C42" s="6"/>
      <c r="D42" s="6"/>
      <c r="E42" s="6"/>
      <c r="F42" s="6"/>
      <c r="G42" s="215">
        <f>'Test de compensation'!C161</f>
        <v>0</v>
      </c>
      <c r="H42" s="217">
        <f>G42/G44</f>
        <v>0</v>
      </c>
    </row>
    <row r="43" spans="1:8" ht="13.5" thickBot="1">
      <c r="A43" s="6"/>
      <c r="B43" s="6" t="s">
        <v>389</v>
      </c>
      <c r="C43" s="6"/>
      <c r="D43" s="6"/>
      <c r="E43" s="6"/>
      <c r="F43" s="6"/>
      <c r="G43" s="215">
        <f>'Test de compensation'!C162</f>
        <v>-82990.78513274353</v>
      </c>
      <c r="H43" s="217">
        <f>G43/G44</f>
        <v>-0.030927835051546393</v>
      </c>
    </row>
    <row r="44" spans="1:8" ht="13.5" thickBot="1">
      <c r="A44" s="6"/>
      <c r="B44" s="6" t="s">
        <v>72</v>
      </c>
      <c r="C44" s="6"/>
      <c r="D44" s="6"/>
      <c r="E44" s="6"/>
      <c r="F44" s="6"/>
      <c r="G44" s="134">
        <f>'Calculs détaillés'!G64</f>
        <v>2683368.719292041</v>
      </c>
      <c r="H44" s="217">
        <f>SUM(H41:H43)</f>
        <v>1</v>
      </c>
    </row>
    <row r="45" spans="1:8" s="2" customFormat="1" ht="13.5" thickBot="1">
      <c r="A45" s="214" t="s">
        <v>241</v>
      </c>
      <c r="B45" s="214"/>
      <c r="C45" s="214"/>
      <c r="D45" s="214"/>
      <c r="E45" s="214"/>
      <c r="F45" s="214"/>
      <c r="G45" s="214"/>
      <c r="H45" s="218"/>
    </row>
    <row r="46" spans="1:8" ht="13.5" thickBot="1">
      <c r="A46" s="6"/>
      <c r="B46" s="6" t="s">
        <v>65</v>
      </c>
      <c r="C46" s="6"/>
      <c r="D46" s="6"/>
      <c r="E46" s="6"/>
      <c r="F46" s="6"/>
      <c r="G46" s="134">
        <f>'Calculs détaillés'!AU64</f>
        <v>104724.83358740684</v>
      </c>
      <c r="H46" s="217"/>
    </row>
    <row r="47" spans="1:8" ht="12.75">
      <c r="A47" s="6"/>
      <c r="B47" s="204" t="s">
        <v>92</v>
      </c>
      <c r="C47" s="6"/>
      <c r="D47" s="6"/>
      <c r="E47" s="6"/>
      <c r="F47" s="6"/>
      <c r="G47" s="47"/>
      <c r="H47" s="217"/>
    </row>
    <row r="48" spans="1:8" s="2" customFormat="1" ht="12.75">
      <c r="A48" s="214" t="s">
        <v>247</v>
      </c>
      <c r="B48" s="214"/>
      <c r="C48" s="214"/>
      <c r="D48" s="214"/>
      <c r="E48" s="214"/>
      <c r="F48" s="214"/>
      <c r="G48" s="214"/>
      <c r="H48" s="218"/>
    </row>
    <row r="49" spans="1:8" s="2" customFormat="1" ht="12.75">
      <c r="A49" s="214"/>
      <c r="B49" s="6" t="s">
        <v>73</v>
      </c>
      <c r="C49" s="214"/>
      <c r="D49" s="214"/>
      <c r="E49" s="214"/>
      <c r="F49" s="214"/>
      <c r="G49" s="215">
        <f>'Test de compensation'!D109</f>
        <v>75000</v>
      </c>
      <c r="H49" s="217">
        <f>G49/G52</f>
        <v>0.166737726121195</v>
      </c>
    </row>
    <row r="50" spans="1:8" ht="12.75">
      <c r="A50" s="6"/>
      <c r="B50" s="6" t="s">
        <v>395</v>
      </c>
      <c r="C50" s="6"/>
      <c r="D50" s="6"/>
      <c r="E50" s="6"/>
      <c r="F50" s="6"/>
      <c r="G50" s="215">
        <f>'Test de compensation'!D116-'Test de compensation'!D109</f>
        <v>179353</v>
      </c>
      <c r="H50" s="217">
        <f>G50/G52</f>
        <v>0.3987321519068625</v>
      </c>
    </row>
    <row r="51" spans="1:8" ht="13.5" thickBot="1">
      <c r="A51" s="6"/>
      <c r="B51" s="6" t="s">
        <v>357</v>
      </c>
      <c r="C51" s="6"/>
      <c r="D51" s="6"/>
      <c r="E51" s="6"/>
      <c r="F51" s="6"/>
      <c r="G51" s="215">
        <f>'Test de compensation'!C171</f>
        <v>195455.22123893836</v>
      </c>
      <c r="H51" s="217">
        <f>G51/G52</f>
        <v>0.4345301219719424</v>
      </c>
    </row>
    <row r="52" spans="1:8" ht="13.5" thickBot="1">
      <c r="A52" s="6" t="s">
        <v>107</v>
      </c>
      <c r="B52" s="214" t="s">
        <v>109</v>
      </c>
      <c r="C52" s="6"/>
      <c r="D52" s="6"/>
      <c r="E52" s="6"/>
      <c r="F52" s="6"/>
      <c r="G52" s="134">
        <f>SUM(G49:G51)</f>
        <v>449808.2212389384</v>
      </c>
      <c r="H52" s="256">
        <f>SUM(H49:H51)</f>
        <v>0.9999999999999999</v>
      </c>
    </row>
    <row r="53" spans="1:8" s="2" customFormat="1" ht="13.5" thickBot="1">
      <c r="A53" s="214" t="s">
        <v>186</v>
      </c>
      <c r="B53" s="214"/>
      <c r="C53" s="214"/>
      <c r="D53" s="214"/>
      <c r="E53" s="214"/>
      <c r="F53" s="214"/>
      <c r="G53" s="47"/>
      <c r="H53" s="222"/>
    </row>
    <row r="54" spans="1:6" ht="12.75">
      <c r="A54" s="6" t="s">
        <v>227</v>
      </c>
      <c r="B54" s="6"/>
      <c r="C54" s="306">
        <f>'Test de compensation'!C172</f>
        <v>449808.2212389384</v>
      </c>
      <c r="D54" s="304"/>
      <c r="E54" s="6"/>
      <c r="F54" s="6"/>
    </row>
    <row r="55" spans="1:6" ht="12.75">
      <c r="A55" s="6" t="s">
        <v>168</v>
      </c>
      <c r="B55" s="6"/>
      <c r="C55" s="203" t="s">
        <v>107</v>
      </c>
      <c r="D55" s="276">
        <f>G28</f>
        <v>1230292.1589426883</v>
      </c>
      <c r="E55" s="6"/>
      <c r="F55" s="6"/>
    </row>
    <row r="56" spans="1:6" ht="13.5" thickBot="1">
      <c r="A56" s="6" t="s">
        <v>113</v>
      </c>
      <c r="B56" s="6"/>
      <c r="C56" s="203" t="s">
        <v>107</v>
      </c>
      <c r="D56" s="299">
        <f>G46</f>
        <v>104724.83358740684</v>
      </c>
      <c r="E56" s="6"/>
      <c r="F56" s="6"/>
    </row>
    <row r="57" spans="1:6" ht="13.5" thickBot="1">
      <c r="A57" s="6" t="s">
        <v>114</v>
      </c>
      <c r="B57" s="6"/>
      <c r="C57" s="299" t="s">
        <v>107</v>
      </c>
      <c r="D57" s="305">
        <f>SUM(D55:D56)</f>
        <v>1335016.9925300952</v>
      </c>
      <c r="E57" s="6"/>
      <c r="F57" s="6"/>
    </row>
    <row r="58" spans="1:6" ht="13.5" thickBot="1">
      <c r="A58" s="214" t="s">
        <v>408</v>
      </c>
      <c r="B58" s="214"/>
      <c r="C58" s="285">
        <f>D57-C54</f>
        <v>885208.7712911568</v>
      </c>
      <c r="D58" s="6"/>
      <c r="E58" s="6" t="s">
        <v>196</v>
      </c>
      <c r="F58" s="6"/>
    </row>
    <row r="59" spans="1:6" ht="13.5" thickBot="1">
      <c r="A59" s="214"/>
      <c r="B59" s="214"/>
      <c r="C59" s="95"/>
      <c r="D59" s="6"/>
      <c r="E59" s="6" t="s">
        <v>197</v>
      </c>
      <c r="F59" s="6"/>
    </row>
    <row r="60" spans="1:6" ht="13.5" thickBot="1">
      <c r="A60" s="6" t="s">
        <v>406</v>
      </c>
      <c r="B60" s="6"/>
      <c r="C60" s="226">
        <f>'Test de compensation'!D177</f>
        <v>0.33693070856459423</v>
      </c>
      <c r="D60" s="6"/>
      <c r="E60" s="6" t="s">
        <v>107</v>
      </c>
      <c r="F60" s="6"/>
    </row>
    <row r="61" spans="1:6" ht="12.75">
      <c r="A61" s="6" t="s">
        <v>184</v>
      </c>
      <c r="B61" s="6"/>
      <c r="C61" s="216">
        <f>'Test de compensation'!D178</f>
        <v>0.05617906020646348</v>
      </c>
      <c r="D61" s="6" t="s">
        <v>228</v>
      </c>
      <c r="E61" s="6"/>
      <c r="F61" s="6"/>
    </row>
    <row r="62" spans="1:6" ht="13.5" thickBot="1">
      <c r="A62" s="6" t="s">
        <v>187</v>
      </c>
      <c r="B62" s="6"/>
      <c r="C62" s="216">
        <f>'Test de compensation'!D109/'Notice explicative'!C54</f>
        <v>0.166737726121195</v>
      </c>
      <c r="D62" s="6" t="s">
        <v>229</v>
      </c>
      <c r="E62" s="6"/>
      <c r="F62" s="6"/>
    </row>
    <row r="63" spans="1:6" ht="13.5" thickBot="1">
      <c r="A63" s="6" t="s">
        <v>352</v>
      </c>
      <c r="B63" s="6"/>
      <c r="C63" s="216"/>
      <c r="D63" s="134">
        <f>C54/40*0.1</f>
        <v>1124.520553097346</v>
      </c>
      <c r="E63" s="6"/>
      <c r="F63" s="6"/>
    </row>
    <row r="64" spans="1:6" ht="12.75">
      <c r="A64" s="6"/>
      <c r="B64" s="6"/>
      <c r="C64" s="216"/>
      <c r="D64" s="6"/>
      <c r="E64" s="6"/>
      <c r="F64" s="6"/>
    </row>
    <row r="65" spans="1:6" ht="12.75">
      <c r="A65" s="214" t="s">
        <v>78</v>
      </c>
      <c r="B65" s="6"/>
      <c r="C65" s="216"/>
      <c r="D65" s="6"/>
      <c r="E65" s="6"/>
      <c r="F65" s="6"/>
    </row>
    <row r="66" spans="1:6" ht="12.75">
      <c r="A66" s="6" t="s">
        <v>226</v>
      </c>
      <c r="B66" s="6"/>
      <c r="C66" s="216"/>
      <c r="D66" s="6"/>
      <c r="E66" s="6">
        <f>G14</f>
        <v>40</v>
      </c>
      <c r="F66" s="6" t="s">
        <v>182</v>
      </c>
    </row>
    <row r="67" spans="1:6" ht="12.75">
      <c r="A67" s="6"/>
      <c r="B67" s="6"/>
      <c r="C67" s="216"/>
      <c r="D67" s="6"/>
      <c r="E67" s="6"/>
      <c r="F67" s="6"/>
    </row>
    <row r="68" spans="1:6" ht="12.75">
      <c r="A68" s="214" t="s">
        <v>396</v>
      </c>
      <c r="B68" s="214"/>
      <c r="C68" s="379"/>
      <c r="D68" s="6"/>
      <c r="E68" s="6"/>
      <c r="F68" s="6"/>
    </row>
    <row r="69" spans="1:6" ht="12.75">
      <c r="A69" s="6" t="s">
        <v>341</v>
      </c>
      <c r="B69" s="6"/>
      <c r="C69" s="216"/>
      <c r="D69" s="6"/>
      <c r="E69" s="6"/>
      <c r="F69" s="6"/>
    </row>
    <row r="70" spans="1:6" ht="12.75">
      <c r="A70" s="6" t="s">
        <v>348</v>
      </c>
      <c r="B70" s="6"/>
      <c r="C70" s="216"/>
      <c r="D70" s="6"/>
      <c r="E70" s="6"/>
      <c r="F70" s="6"/>
    </row>
    <row r="71" spans="1:6" ht="12.75">
      <c r="A71" s="6" t="s">
        <v>390</v>
      </c>
      <c r="B71" s="6"/>
      <c r="C71" s="216"/>
      <c r="D71" s="6"/>
      <c r="E71" s="6"/>
      <c r="F71" s="6"/>
    </row>
    <row r="72" spans="1:6" ht="12.75">
      <c r="A72" s="6" t="s">
        <v>345</v>
      </c>
      <c r="B72" s="6"/>
      <c r="C72" s="216"/>
      <c r="D72" s="6"/>
      <c r="E72" s="6"/>
      <c r="F72" s="6"/>
    </row>
    <row r="73" spans="1:6" ht="12.75">
      <c r="A73" s="6" t="s">
        <v>349</v>
      </c>
      <c r="B73" s="6"/>
      <c r="C73" s="216"/>
      <c r="D73" s="6"/>
      <c r="E73" s="6"/>
      <c r="F73" s="6"/>
    </row>
    <row r="74" spans="1:6" ht="12.75">
      <c r="A74" s="6" t="s">
        <v>391</v>
      </c>
      <c r="B74" s="6"/>
      <c r="C74" s="216"/>
      <c r="D74" s="6"/>
      <c r="E74" s="6"/>
      <c r="F74" s="6"/>
    </row>
    <row r="75" spans="1:6" ht="12.75">
      <c r="A75" s="6"/>
      <c r="B75" s="6"/>
      <c r="C75" s="216"/>
      <c r="D75" s="6"/>
      <c r="E75" s="6"/>
      <c r="F75" s="6"/>
    </row>
    <row r="76" spans="1:6" ht="12.75">
      <c r="A76" s="214" t="s">
        <v>342</v>
      </c>
      <c r="B76" s="214"/>
      <c r="C76" s="216"/>
      <c r="D76" s="6"/>
      <c r="E76" s="6"/>
      <c r="F76" s="6"/>
    </row>
    <row r="77" spans="1:6" ht="12.75">
      <c r="A77" s="6" t="s">
        <v>343</v>
      </c>
      <c r="B77" s="6"/>
      <c r="C77" s="216"/>
      <c r="D77" s="6"/>
      <c r="E77" s="6"/>
      <c r="F77" s="6"/>
    </row>
    <row r="78" spans="1:6" ht="12.75">
      <c r="A78" s="6" t="s">
        <v>397</v>
      </c>
      <c r="B78" s="6"/>
      <c r="C78" s="216"/>
      <c r="D78" s="6"/>
      <c r="E78" s="6"/>
      <c r="F78" s="6"/>
    </row>
    <row r="79" spans="1:6" ht="12.75">
      <c r="A79" s="6" t="s">
        <v>344</v>
      </c>
      <c r="B79" s="6"/>
      <c r="C79" s="216"/>
      <c r="D79" s="6"/>
      <c r="E79" s="6"/>
      <c r="F79" s="6"/>
    </row>
    <row r="80" spans="1:6" ht="12.75">
      <c r="A80" s="6"/>
      <c r="B80" s="6"/>
      <c r="C80" s="216"/>
      <c r="D80" s="6"/>
      <c r="E80" s="6"/>
      <c r="F80" s="6"/>
    </row>
    <row r="81" spans="1:6" ht="12.75">
      <c r="A81" s="214" t="s">
        <v>113</v>
      </c>
      <c r="B81" s="6"/>
      <c r="C81" s="216"/>
      <c r="D81" s="6"/>
      <c r="E81" s="6"/>
      <c r="F81" s="6"/>
    </row>
    <row r="82" spans="1:6" ht="12.75">
      <c r="A82" s="6" t="s">
        <v>392</v>
      </c>
      <c r="B82" s="6"/>
      <c r="C82" s="216"/>
      <c r="D82" s="6"/>
      <c r="E82" s="6"/>
      <c r="F82" s="6"/>
    </row>
    <row r="83" spans="1:6" ht="12.75">
      <c r="A83" s="6"/>
      <c r="B83" s="6"/>
      <c r="C83" s="216"/>
      <c r="D83" s="6"/>
      <c r="E83" s="6"/>
      <c r="F83" s="6"/>
    </row>
    <row r="84" spans="1:6" ht="12.75">
      <c r="A84" s="214" t="s">
        <v>346</v>
      </c>
      <c r="B84" s="6"/>
      <c r="C84" s="216"/>
      <c r="D84" s="6"/>
      <c r="E84" s="6"/>
      <c r="F84" s="6"/>
    </row>
    <row r="85" spans="1:6" ht="12.75">
      <c r="A85" s="6" t="s">
        <v>347</v>
      </c>
      <c r="B85" s="6"/>
      <c r="C85" s="216"/>
      <c r="D85" s="6"/>
      <c r="E85" s="6"/>
      <c r="F85" s="6"/>
    </row>
    <row r="86" spans="1:6" ht="12.75">
      <c r="A86" s="6" t="s">
        <v>355</v>
      </c>
      <c r="B86" s="6"/>
      <c r="C86" s="216"/>
      <c r="D86" s="6"/>
      <c r="E86" s="6"/>
      <c r="F86" s="6"/>
    </row>
    <row r="87" spans="1:6" ht="12.75">
      <c r="A87" s="6"/>
      <c r="B87" s="6"/>
      <c r="C87" s="216"/>
      <c r="D87" s="6"/>
      <c r="E87" s="6"/>
      <c r="F87" s="6"/>
    </row>
    <row r="88" spans="1:6" ht="12.75">
      <c r="A88" s="214" t="s">
        <v>5</v>
      </c>
      <c r="B88" s="214"/>
      <c r="C88" s="216"/>
      <c r="D88" s="6"/>
      <c r="E88" s="6"/>
      <c r="F88" s="6"/>
    </row>
    <row r="89" spans="1:6" ht="12.75">
      <c r="A89" s="6" t="s">
        <v>403</v>
      </c>
      <c r="B89" s="6"/>
      <c r="C89" s="216"/>
      <c r="D89" s="6"/>
      <c r="E89" s="6"/>
      <c r="F89" s="6"/>
    </row>
    <row r="90" spans="1:6" ht="12.75">
      <c r="A90" s="6" t="s">
        <v>404</v>
      </c>
      <c r="B90" s="6"/>
      <c r="C90" s="216"/>
      <c r="D90" s="6"/>
      <c r="E90" s="6"/>
      <c r="F90" s="6"/>
    </row>
    <row r="91" spans="1:6" ht="12.75">
      <c r="A91" s="6" t="s">
        <v>351</v>
      </c>
      <c r="B91" s="6"/>
      <c r="C91" s="216"/>
      <c r="D91" s="6"/>
      <c r="E91" s="6"/>
      <c r="F91" s="6"/>
    </row>
    <row r="92" spans="1:6" ht="12.75">
      <c r="A92" s="6" t="s">
        <v>350</v>
      </c>
      <c r="B92" s="6"/>
      <c r="C92" s="216"/>
      <c r="D92" s="6"/>
      <c r="E92" s="6"/>
      <c r="F92" s="6"/>
    </row>
    <row r="93" spans="1:7" ht="13.5" thickBot="1">
      <c r="A93" s="232"/>
      <c r="B93" s="232"/>
      <c r="C93" s="232"/>
      <c r="D93" s="232"/>
      <c r="E93" s="232"/>
      <c r="F93" s="232"/>
      <c r="G93" s="233"/>
    </row>
    <row r="94" s="204" customFormat="1" ht="9.75">
      <c r="A94" s="204" t="s">
        <v>107</v>
      </c>
    </row>
    <row r="95" s="204" customFormat="1" ht="9.75">
      <c r="A95" s="204" t="s">
        <v>407</v>
      </c>
    </row>
    <row r="96" s="204" customFormat="1" ht="9.75">
      <c r="A96" s="204" t="s">
        <v>399</v>
      </c>
    </row>
    <row r="97" s="204" customFormat="1" ht="9.75">
      <c r="A97" s="204" t="s">
        <v>400</v>
      </c>
    </row>
    <row r="98" s="204" customFormat="1" ht="9.75">
      <c r="A98" s="204" t="s">
        <v>401</v>
      </c>
    </row>
    <row r="99" spans="1:7" s="204" customFormat="1" ht="9.75">
      <c r="A99" s="204" t="s">
        <v>402</v>
      </c>
      <c r="G99" s="463">
        <f>D63</f>
        <v>1124.520553097346</v>
      </c>
    </row>
    <row r="101" s="204" customFormat="1" ht="9.75">
      <c r="A101" s="204" t="s">
        <v>398</v>
      </c>
    </row>
  </sheetData>
  <sheetProtection/>
  <hyperlinks>
    <hyperlink ref="E9" r:id="rId1" display="2012/21/UE"/>
    <hyperlink ref="E10" r:id="rId2" display="Mandat OHLM"/>
  </hyperlinks>
  <printOptions/>
  <pageMargins left="0.75" right="0.75" top="1" bottom="1" header="0.4921259845" footer="0.492125984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Laurent GHEKIERE</cp:lastModifiedBy>
  <cp:lastPrinted>2013-05-26T10:20:14Z</cp:lastPrinted>
  <dcterms:created xsi:type="dcterms:W3CDTF">2010-09-11T16:32:23Z</dcterms:created>
  <dcterms:modified xsi:type="dcterms:W3CDTF">2013-11-19T10:33:09Z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