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1116" windowWidth="12288" windowHeight="3720" activeTab="0"/>
  </bookViews>
  <sheets>
    <sheet name="Test de compensation" sheetId="1" r:id="rId1"/>
    <sheet name="Calculs détaillés" sheetId="2" r:id="rId2"/>
    <sheet name="Notice explicative" sheetId="3" r:id="rId3"/>
  </sheets>
  <definedNames>
    <definedName name="_xlnm.Print_Area" localSheetId="0">'Test de compensation'!$A$154:$K$196</definedName>
  </definedNames>
  <calcPr fullCalcOnLoad="1"/>
</workbook>
</file>

<file path=xl/sharedStrings.xml><?xml version="1.0" encoding="utf-8"?>
<sst xmlns="http://schemas.openxmlformats.org/spreadsheetml/2006/main" count="879" uniqueCount="432">
  <si>
    <t>ESB dégrèvement de TFPB (potentiel)</t>
  </si>
  <si>
    <t>Test de compensation d'obligations de service public : données à renseigner par l'organisme d'HLM et résultats du test</t>
  </si>
  <si>
    <t>Détails des paramètres de calcul du contrôle de l'absence de surcompensation</t>
  </si>
  <si>
    <t>Pièces justificatives relatives à l'opération disponibles auprès de l'OHLM en cas de contrôle</t>
  </si>
  <si>
    <t>! Données d'une opération fictive à titre indicatif à corriger ou compléter sur base de votre opération</t>
  </si>
  <si>
    <t>hors prêts</t>
  </si>
  <si>
    <r>
      <t>limitée à 15 ans après concertation locative, valeur actuelle (</t>
    </r>
    <r>
      <rPr>
        <b/>
        <sz val="8"/>
        <rFont val="Arial"/>
        <family val="2"/>
      </rPr>
      <t>OSP tarifaire et protection des utilisateurs)</t>
    </r>
  </si>
  <si>
    <r>
      <t xml:space="preserve">sur durée de référence, valeur actuelle, </t>
    </r>
    <r>
      <rPr>
        <b/>
        <sz val="8"/>
        <rFont val="Arial"/>
        <family val="2"/>
      </rPr>
      <t>dans le respect de la convention APL (OSP tarifaire - loyer plafond)</t>
    </r>
  </si>
  <si>
    <t>Recettes générées, valeur actuelle (cf feuillet 2 exploitation sur durée du prêt principal (article 5.4))</t>
  </si>
  <si>
    <t>rétrocession totale ou partielle des CEE à une autorité publique en contrepartie de l'octroi d'une subvention</t>
  </si>
  <si>
    <t>durée de référence</t>
  </si>
  <si>
    <t>Donnée de référence fixée par l'Etat DHUP</t>
  </si>
  <si>
    <t>Donnée de référence fixée par l'Etat DHUP : agrément des opérations de logements sociaux - LOLA</t>
  </si>
  <si>
    <t>recettes annuelles cumulées sur durée de référence, valeur actuelle</t>
  </si>
  <si>
    <r>
      <t>non recette sur durée de référence, valeur actuelle (</t>
    </r>
    <r>
      <rPr>
        <b/>
        <sz val="8"/>
        <rFont val="Arial"/>
        <family val="2"/>
      </rPr>
      <t>OSP occupation sociale)</t>
    </r>
  </si>
  <si>
    <t>sur durée de référence, valeur actuelle</t>
  </si>
  <si>
    <t>Bénéfice raisonnable : recomposition des fonds propres sur durée d'amortissement rémunérés au tx moyen du Livret A (Donnée Etat DHUP) OSP fonds revolving SIEG</t>
  </si>
  <si>
    <t>! Recettes non effectives lors de l'instruction et non automatiques à actualiser lors du "test paiement du solde"</t>
  </si>
  <si>
    <t>recettes annuelles effectives de la revente de KWH photovoltaïque à EDF</t>
  </si>
  <si>
    <t>! Ce montant doit être égal à l'assiette éligible FEDER</t>
  </si>
  <si>
    <t>Récapitulatif du plan de financement de l'opération de rénovation thermique (assiette éligible FEDER)</t>
  </si>
  <si>
    <t>Un "test actualisé paiement du solde" par actualisation des données du test prévisionnel (compensations et recettes effectivement perçues)</t>
  </si>
  <si>
    <t>Test prévisionnel (instruction du dossier - convention attributive) et test actualisé paiement du solde (actualisation des données)</t>
  </si>
  <si>
    <t>dégrèvement TFPB, vente de CEE, vente de Kwh photovotaïques…</t>
  </si>
  <si>
    <t xml:space="preserve">                                     Garantie des emprunts - coût effectif</t>
  </si>
  <si>
    <t>I : Caractéristiques et données de l'opération</t>
  </si>
  <si>
    <t>II : Coûts nets, bénéfice raisonnable et absence de surcompensation (art. 5 décision CE)</t>
  </si>
  <si>
    <t>La compensation est compatible a priori avec le Traité dès lors qu'elle n'excède pas ce qui est nécessaire à l'exécution du SIEG de logement social (coûts moins les recettes plus un bénéfice raisonnable).</t>
  </si>
  <si>
    <t>Garantie publique gratuite ou garantie bancaire CGLLS (OSP continuité financière du SIEG)</t>
  </si>
  <si>
    <t>coût éligible des investissements à financer par l'OHLM TVA comprise (assiette éligible FEDER TTC)</t>
  </si>
  <si>
    <t>Le bénéfice de taux réduit est imputé directement dans les coûts d'investissement TTC</t>
  </si>
  <si>
    <t>les coûts liés aux investissements en travaux TVA comprise (assiette éligible FEDER)</t>
  </si>
  <si>
    <t>la charge d'intérêts compte tenu des emprunts contractés</t>
  </si>
  <si>
    <t>Equivalent subvention du dégrèvement de TFPB (valeur actuelle)</t>
  </si>
  <si>
    <t>Equivalent subvention du bénéfice de taux réduit de TVA (1)</t>
  </si>
  <si>
    <t>Recettes locatives temporaires : recettes actualisées générées temporairement par l'opération (3ème ligne) (valeur actuelle)</t>
  </si>
  <si>
    <t>Non recettes locatives : non recettes actualisées liées à la vacance et aux impayés (taux de référence Etat DHUP, donnée proratisée, valeur actuelle)</t>
  </si>
  <si>
    <t>Recettes produits annexes : recettes générées par la vente de CEE et/ou de Kwh photovoltaiques (donnée proratisée, valeur actuelle)</t>
  </si>
  <si>
    <t>Non recettes produits annexes : retrocession des CEE à une autorité publique en contrepartie d'octroi de la subvention</t>
  </si>
  <si>
    <t>Le bénéfice raisonnable est reporté sur une autre opération SIEG sous la forme d'apport en fonds propres de l'OHLM (fonds propres revolving SIEG)</t>
  </si>
  <si>
    <t>Compensation sous forme de dégrèvement de TFPB : montant maximal de dégrèvement en N+2 (valeur actuelle), donnée à actualisée lors du test paiement du solde)</t>
  </si>
  <si>
    <r>
      <t>imp</t>
    </r>
    <r>
      <rPr>
        <sz val="8"/>
        <rFont val="Arial"/>
        <family val="2"/>
      </rPr>
      <t>utation directe du taux réduit dans les coûts d'investissement (assiette éligible FEDER TTC)</t>
    </r>
  </si>
  <si>
    <t>! Cochez la case correspondante</t>
  </si>
  <si>
    <t>Majoration temporaire 15 ans</t>
  </si>
  <si>
    <t>Impayés et vacance proratisés</t>
  </si>
  <si>
    <t>Produit de la vente</t>
  </si>
  <si>
    <t>Rétrocession des CEE à l'autorité publique</t>
  </si>
  <si>
    <t>Produit annuel de la vente</t>
  </si>
  <si>
    <t>Recettes nettes</t>
  </si>
  <si>
    <t>et à l'exécution des obligations de service public imposées par mandat de l'Etat aux organismes d'HLM</t>
  </si>
  <si>
    <r>
      <t xml:space="preserve">ans : durée du prêt principal </t>
    </r>
    <r>
      <rPr>
        <b/>
        <i/>
        <sz val="8"/>
        <color indexed="10"/>
        <rFont val="Arial"/>
        <family val="2"/>
      </rPr>
      <t>! En l'absence de prêt inscrire 20 ans.</t>
    </r>
  </si>
  <si>
    <t>Coût effectif de la garantie de la CGLLS (OSP continuité financière)</t>
  </si>
  <si>
    <t>ensemble de l'opération de rénovation (assiette FEDER + rénovation hors assiette FEDER)</t>
  </si>
  <si>
    <r>
      <t xml:space="preserve">ans </t>
    </r>
    <r>
      <rPr>
        <b/>
        <i/>
        <sz val="8"/>
        <color indexed="10"/>
        <rFont val="Arial"/>
        <family val="2"/>
      </rPr>
      <t>(à actualiser en cas d'évolution)</t>
    </r>
  </si>
  <si>
    <t>recettes effectives tirées de la vente de certificats d'économie d'énergie imutable au projet (CEE)</t>
  </si>
  <si>
    <t>dont rétrocession de CEE à une autorité publique</t>
  </si>
  <si>
    <r>
      <t xml:space="preserve">Taux réduit de TVA applicable en année de référence </t>
    </r>
    <r>
      <rPr>
        <b/>
        <i/>
        <sz val="8"/>
        <color indexed="10"/>
        <rFont val="Arial"/>
        <family val="2"/>
      </rPr>
      <t>! taux à actualiser en cas d'évolution</t>
    </r>
  </si>
  <si>
    <t>charge cumulée d'intérêts des emprunts contractés par l'OHLM pour financer le SIEG, valeur actuelle</t>
  </si>
  <si>
    <t>Total coût de référence (charges d'intérêts et de garantie bancaire incluses)</t>
  </si>
  <si>
    <t>le taux réduit rénovation thermique n'est pas une aide spécifique, imputation directe dans les coûts effectifs d'investissement TTC</t>
  </si>
  <si>
    <t>inscrivez 0 si garantie gratuite CL sinon = montant des emprunts * 2% si garantie CGLLS payante</t>
  </si>
  <si>
    <t>cumul taux d'impayés et de vacance de référence (Etat DHUP)</t>
  </si>
  <si>
    <t>Majoration des loyers proratisée</t>
  </si>
  <si>
    <t>RECETTES GENEREES PAR LE PROJET</t>
  </si>
  <si>
    <t>! Montant potentiel à insérer dans ce "test prévisionnel" et à actualiser lors du "test paiement du solde"</t>
  </si>
  <si>
    <t>recettes effectives tirées de la vente de certificats d'économie d'énergie par le bénéficiaire</t>
  </si>
  <si>
    <t>Impayés de loyers et vacance</t>
  </si>
  <si>
    <t>Coûts nets (articles 5.5 à 5.8)</t>
  </si>
  <si>
    <t>charge totale d'intérêts des emprunts contractés</t>
  </si>
  <si>
    <t>Feuillet 1</t>
  </si>
  <si>
    <t>Résultats en valeur actuelle</t>
  </si>
  <si>
    <t>CEE</t>
  </si>
  <si>
    <t>KWh</t>
  </si>
  <si>
    <t>valeur réelle</t>
  </si>
  <si>
    <t xml:space="preserve">report de surcompensation (10%) soit </t>
  </si>
  <si>
    <t>ESB dégrèvement TFPB N+2</t>
  </si>
  <si>
    <t xml:space="preserve">dont : </t>
  </si>
  <si>
    <t>introduction temporaire d'une 3ème ligne de quittance "rénovation thermique"</t>
  </si>
  <si>
    <t>(part de l'assiette éligible FEDER dans l'ensemble de l'investissement)</t>
  </si>
  <si>
    <t>Compensation sous forme de taux réduit de TVA : non prise en compte car mesure générale non spécifique au SIEG de logement social en matière de rénovation thermique</t>
  </si>
  <si>
    <r>
      <t>Condition</t>
    </r>
    <r>
      <rPr>
        <sz val="8"/>
        <rFont val="Arial"/>
        <family val="2"/>
      </rPr>
      <t xml:space="preserve"> : la compensation ne peut être supérieure aux </t>
    </r>
    <r>
      <rPr>
        <b/>
        <sz val="8"/>
        <rFont val="Arial"/>
        <family val="2"/>
      </rPr>
      <t>coûts nets</t>
    </r>
    <r>
      <rPr>
        <sz val="8"/>
        <rFont val="Arial"/>
        <family val="2"/>
      </rPr>
      <t xml:space="preserve"> + un </t>
    </r>
    <r>
      <rPr>
        <b/>
        <sz val="8"/>
        <rFont val="Arial"/>
        <family val="2"/>
      </rPr>
      <t>bénéfice raisonnable</t>
    </r>
    <r>
      <rPr>
        <sz val="8"/>
        <rFont val="Arial"/>
        <family val="2"/>
      </rPr>
      <t xml:space="preserve"> (art.5.1 de la Décion 2012/21/UE)</t>
    </r>
  </si>
  <si>
    <t>la charge de garantie des emprunts</t>
  </si>
  <si>
    <t xml:space="preserve">Test d'absence de surcompensation en deux temps : </t>
  </si>
  <si>
    <t>Notice explicative des résultats du test et de la méthode retenue</t>
  </si>
  <si>
    <t>Principes généraux de la compensation de service public applicables aux organismes d'HLM</t>
  </si>
  <si>
    <t>! N'insérer que des recettes effectives - données à actualiser lors du "test paiement du solde"</t>
  </si>
  <si>
    <t>TEST PREVISIONNEL</t>
  </si>
  <si>
    <t>X</t>
  </si>
  <si>
    <t>Voir détail des calculs en feuillet 2 et notice explicative du résultat en feuillet 3</t>
  </si>
  <si>
    <t>Charge d'intérêts du prêt principal</t>
  </si>
  <si>
    <t>Charge d'intérêts du prêt complémentaire 1</t>
  </si>
  <si>
    <t>Charge d'intérêt du prêt complémentaire 2</t>
  </si>
  <si>
    <t>Charge d'intérêts du prêt complémentaire 3</t>
  </si>
  <si>
    <t>Intérêts cumulés</t>
  </si>
  <si>
    <t>rétrocession des CEE à une autorité publique en contrepartie de la subvention</t>
  </si>
  <si>
    <t>si positif : absence de surcompensation. Marge d'aides ou de recettes avant surcompensation</t>
  </si>
  <si>
    <t>(le taux ne peut être supérieur à 100%)</t>
  </si>
  <si>
    <t>Coût relevant de l'assiette éligible FEDER TTC</t>
  </si>
  <si>
    <t>rénovation thermique seule, assiette éligible FEDER TTC</t>
  </si>
  <si>
    <r>
      <t>OSP</t>
    </r>
    <r>
      <rPr>
        <sz val="8"/>
        <color indexed="10"/>
        <rFont val="Arial"/>
        <family val="2"/>
      </rPr>
      <t xml:space="preserve"> (Taux d'augmentation annuelle des loyers)</t>
    </r>
  </si>
  <si>
    <r>
      <t>OSP</t>
    </r>
    <r>
      <rPr>
        <sz val="8"/>
        <color indexed="10"/>
        <rFont val="Arial"/>
        <family val="2"/>
      </rPr>
      <t xml:space="preserve"> (Majoration temporaire de loyer au titre de la "3ème ligne")</t>
    </r>
  </si>
  <si>
    <r>
      <t>OSP</t>
    </r>
    <r>
      <rPr>
        <sz val="8"/>
        <color indexed="10"/>
        <rFont val="Arial"/>
        <family val="2"/>
      </rPr>
      <t xml:space="preserve"> (taux d'impayés de référence)</t>
    </r>
  </si>
  <si>
    <r>
      <t>OSP</t>
    </r>
    <r>
      <rPr>
        <sz val="8"/>
        <color indexed="10"/>
        <rFont val="Arial"/>
        <family val="2"/>
      </rPr>
      <t xml:space="preserve"> (taux de vacance de référence)</t>
    </r>
  </si>
  <si>
    <r>
      <t>OSP</t>
    </r>
    <r>
      <rPr>
        <sz val="8"/>
        <color indexed="10"/>
        <rFont val="Arial"/>
        <family val="2"/>
      </rPr>
      <t xml:space="preserve"> (pertes liées aux taux de vacance et d'impayés)</t>
    </r>
  </si>
  <si>
    <r>
      <t>OSP</t>
    </r>
    <r>
      <rPr>
        <sz val="8"/>
        <color indexed="10"/>
        <rFont val="Arial"/>
        <family val="2"/>
      </rPr>
      <t xml:space="preserve"> (Fonds revolving SIEG)</t>
    </r>
  </si>
  <si>
    <t>Total compensations</t>
  </si>
  <si>
    <t>test d'absence de surcompensation</t>
  </si>
  <si>
    <t>dont emprunts contractés par l'OHLM</t>
  </si>
  <si>
    <t>3ème ligne de quittance</t>
  </si>
  <si>
    <t>Les coûts nets + bénéfice raisonnable</t>
  </si>
  <si>
    <t>OHLM</t>
  </si>
  <si>
    <r>
      <t xml:space="preserve">. obligation d'attribution de cette offre à des ménages sous plafonds de revenus dans le respect d'une procédure spéficique : </t>
    </r>
    <r>
      <rPr>
        <b/>
        <sz val="8"/>
        <rFont val="Arial"/>
        <family val="2"/>
      </rPr>
      <t>OSP attribution - occupation sociale</t>
    </r>
  </si>
  <si>
    <r>
      <t xml:space="preserve">. obligation de réinvestir les résultats éventuels d'exploitation dans le financement de l'offre de logements à loyer modéré (construction - réhabilitation) : </t>
    </r>
    <r>
      <rPr>
        <b/>
        <sz val="8"/>
        <rFont val="Arial"/>
        <family val="2"/>
      </rPr>
      <t>OSP fonds revolving SIEG</t>
    </r>
  </si>
  <si>
    <t>Compensation</t>
  </si>
  <si>
    <t>Non recettes (impayés et vacance)</t>
  </si>
  <si>
    <t>Coûts bruts et coûts nets</t>
  </si>
  <si>
    <t>ESB TVA taux réduit</t>
  </si>
  <si>
    <t>Décision initiale du 19 décembre 2005 abrogée par la décision 2012/21/UE qui est entrée en application au 31 janvier 2012</t>
  </si>
  <si>
    <t>UE - Décisions CE</t>
  </si>
  <si>
    <t>spécificités du SIEG du logement social, des hôpitaux et autres services sociaux concernés par la décision CE 2012/21/UE</t>
  </si>
  <si>
    <r>
      <t xml:space="preserve">exemption de notification </t>
    </r>
    <r>
      <rPr>
        <b/>
        <sz val="8"/>
        <rFont val="Arial"/>
        <family val="2"/>
      </rPr>
      <t>hors seuil</t>
    </r>
    <r>
      <rPr>
        <sz val="8"/>
        <rFont val="Arial"/>
        <family val="2"/>
      </rPr>
      <t xml:space="preserve"> des compensations de certains SIEG sociaux dont le logement social</t>
    </r>
  </si>
  <si>
    <t>considérant 11 et 12</t>
  </si>
  <si>
    <t>article L411 CCH définit les missions particulières imparties au SIEG de logement social, son périmètre et mandate les OHLM chargés de sa gestion</t>
  </si>
  <si>
    <r>
      <t xml:space="preserve">1- L'OHLM est chargé de la gestion du SIEG de logement social par plusieurs actes officiels de mandat qui le soumet à des </t>
    </r>
    <r>
      <rPr>
        <b/>
        <sz val="8"/>
        <rFont val="Arial"/>
        <family val="2"/>
      </rPr>
      <t>obligations de service public</t>
    </r>
    <r>
      <rPr>
        <sz val="8"/>
        <rFont val="Arial"/>
        <family val="2"/>
      </rPr>
      <t xml:space="preserve"> (OSP)</t>
    </r>
  </si>
  <si>
    <r>
      <t xml:space="preserve">. obligation de garantir une sécurité d'occupation aux ménages bénéficaires par des baux à durée indéterminée : </t>
    </r>
    <r>
      <rPr>
        <b/>
        <sz val="8"/>
        <rFont val="Arial"/>
        <family val="2"/>
      </rPr>
      <t>OSP sécurité d'occupation - continuité du service public</t>
    </r>
  </si>
  <si>
    <r>
      <t>sans plafonnement des coûts d'investissement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dans le respect des OSP qui s'imposent à l'OHLM</t>
    </r>
    <r>
      <rPr>
        <i/>
        <sz val="8"/>
        <rFont val="Arial"/>
        <family val="2"/>
      </rPr>
      <t xml:space="preserve"> (voir la notice explicative de la notion de compensation de service public en feuillet 3)</t>
    </r>
  </si>
  <si>
    <t>x</t>
  </si>
  <si>
    <t>Données de base</t>
  </si>
  <si>
    <t>cofinancée par le FEDER</t>
  </si>
  <si>
    <t>Total des emprunts contractés par l'OHLM</t>
  </si>
  <si>
    <t>Part du FEDER dans le plan de financement de l'opération</t>
  </si>
  <si>
    <t>Loyers majorés</t>
  </si>
  <si>
    <t>3eme ligne de quittance</t>
  </si>
  <si>
    <t>Coûts nets + bénéfice raisonnable - compensation</t>
  </si>
  <si>
    <t>Garantie de référence</t>
  </si>
  <si>
    <t>Investissement assiette éligible FEDER TTC</t>
  </si>
  <si>
    <t>article L445.1 CCH complète ce mandat législatif collectif par une convention par OHLM renouvelable tous les 5 ans</t>
  </si>
  <si>
    <r>
      <t xml:space="preserve">. obligation de fournir une offre de logements à loyer modéré (construction, gestion, réhabilitation...) : </t>
    </r>
    <r>
      <rPr>
        <b/>
        <sz val="8"/>
        <rFont val="Arial"/>
        <family val="2"/>
      </rPr>
      <t>OSP d'offre de logements (investissement - gestion)</t>
    </r>
  </si>
  <si>
    <t>Méthode de calcul retenue pour la compensation d'opérations de rénovation thermique de logements sociaux</t>
  </si>
  <si>
    <t>Taux de référence retenus</t>
  </si>
  <si>
    <t>Notice explicative du régime de la compensation et méthode de calcul retenue</t>
  </si>
  <si>
    <t xml:space="preserve">  </t>
  </si>
  <si>
    <t>total recettes générées proratisées</t>
  </si>
  <si>
    <t>taux de cocompensation de l'opération par le FEDER</t>
  </si>
  <si>
    <t>Les coûts nets = coûts bruts - les recettes éventuelles tirées de l'investissement (art.5.2) =</t>
  </si>
  <si>
    <t>note justificative du mandat des OHLM chargés de la gestion du SIEG de logement social en droit interne</t>
  </si>
  <si>
    <t>2005/842/CE</t>
  </si>
  <si>
    <t>Décision d'application de l'article 106.2 TFUE aux compensations octroyées aux entreprises chargées de la gestion du SIEG de logement social</t>
  </si>
  <si>
    <t>dans les limites où l'application de ces règles ne fait pas échec à l'accomplissement en droit ou en fait de la mission particulière qui leur a été impartie.</t>
  </si>
  <si>
    <t>Le développement des échanges ne doit pas être affecté dans une mesure contraire à l'intérêt de l'Union."</t>
  </si>
  <si>
    <t>« Les entreprises chargées de la gestion de services d'intérêt économique général (…) sont soumises aux règles des traités, notamment de concurrence,</t>
  </si>
  <si>
    <t xml:space="preserve"> </t>
  </si>
  <si>
    <t>%</t>
  </si>
  <si>
    <t>Total</t>
  </si>
  <si>
    <t>durée</t>
  </si>
  <si>
    <t>Surface totale en m2</t>
  </si>
  <si>
    <t>Bénéfice raisonnable</t>
  </si>
  <si>
    <t>Coûts nets + bénéfice raisonnable</t>
  </si>
  <si>
    <t>Opération</t>
  </si>
  <si>
    <t>N° Presage</t>
  </si>
  <si>
    <t>PO 2007-2013</t>
  </si>
  <si>
    <t>Majoration de loyer dans la limite du loyer plafond</t>
  </si>
  <si>
    <t>OSP</t>
  </si>
  <si>
    <r>
      <t xml:space="preserve">euros/m2 de surface corrigée dans la limite du loyer plafond </t>
    </r>
    <r>
      <rPr>
        <b/>
        <sz val="8"/>
        <rFont val="Arial"/>
        <family val="2"/>
      </rPr>
      <t>OSP tarifaire</t>
    </r>
  </si>
  <si>
    <r>
      <t xml:space="preserve">euros/m2/an de surface corrigée </t>
    </r>
    <r>
      <rPr>
        <b/>
        <sz val="8"/>
        <rFont val="Arial"/>
        <family val="2"/>
      </rPr>
      <t>OSP tarifaire</t>
    </r>
  </si>
  <si>
    <r>
      <t xml:space="preserve">euros/m2/an de surface habitable - 3ème ligne de quittance </t>
    </r>
    <r>
      <rPr>
        <b/>
        <sz val="8"/>
        <rFont val="Arial"/>
        <family val="2"/>
      </rPr>
      <t>OSP tarifaire</t>
    </r>
  </si>
  <si>
    <t>Nombre de logements rénovés thermiquement</t>
  </si>
  <si>
    <t>Coût total de l'opération de rénovation TTC</t>
  </si>
  <si>
    <t>recettes brutes générées - total</t>
  </si>
  <si>
    <t>dont recettes brutes générées imputables FEDER</t>
  </si>
  <si>
    <t>Coûts éligibles FEDER TTC</t>
  </si>
  <si>
    <t>Prêt principal</t>
  </si>
  <si>
    <t>Année</t>
  </si>
  <si>
    <t>Loyer avant travaux de rénovation</t>
  </si>
  <si>
    <t>Loyer après travaux de rénovation</t>
  </si>
  <si>
    <t>total recettes brutes générées imputables FEDER</t>
  </si>
  <si>
    <t>total recettes nettes imputables à l'opération FEDER</t>
  </si>
  <si>
    <t>recettes nettes annuelles imputables à l'opération FEDER</t>
  </si>
  <si>
    <t>prêt complémentaire 1</t>
  </si>
  <si>
    <t>prêt complémentaire 2</t>
  </si>
  <si>
    <t>prêt complémentaire 3</t>
  </si>
  <si>
    <t>cumul</t>
  </si>
  <si>
    <t>Coût garantie CGLLS</t>
  </si>
  <si>
    <t>subvention Etat</t>
  </si>
  <si>
    <t>subvention ADEME</t>
  </si>
  <si>
    <t>subvention FEDER</t>
  </si>
  <si>
    <t>subvention Département</t>
  </si>
  <si>
    <t>subvention Région</t>
  </si>
  <si>
    <t>subvention EPCI</t>
  </si>
  <si>
    <t>subvention Commune</t>
  </si>
  <si>
    <t>subvention 1% logement</t>
  </si>
  <si>
    <t>autres subventions</t>
  </si>
  <si>
    <t>taux</t>
  </si>
  <si>
    <t>euros/an</t>
  </si>
  <si>
    <t>Taux d'actualisation retenu</t>
  </si>
  <si>
    <t>Compensation des coûts nets</t>
  </si>
  <si>
    <t>COUTS</t>
  </si>
  <si>
    <t>RECETTES</t>
  </si>
  <si>
    <t>Majoration de loyers</t>
  </si>
  <si>
    <t>Subventions à l'investissement</t>
  </si>
  <si>
    <t>dont charge d'intérêts</t>
  </si>
  <si>
    <t>emprunt total =</t>
  </si>
  <si>
    <t>Taux de cocompensation du FEDER</t>
  </si>
  <si>
    <t>article 2.1.c</t>
  </si>
  <si>
    <t>article 5.3.d</t>
  </si>
  <si>
    <t>2012/21/UE</t>
  </si>
  <si>
    <t>Taux de compensation de l'opération</t>
  </si>
  <si>
    <t>Total recettes</t>
  </si>
  <si>
    <t>article 6.2</t>
  </si>
  <si>
    <t>Test d'absence de surcompensation</t>
  </si>
  <si>
    <t>Total coûts bruts</t>
  </si>
  <si>
    <t>article 2.2</t>
  </si>
  <si>
    <t>mandat supérieur à 10 ans - investissements importants - spécificité du SIEG de logement social (considérant 12)</t>
  </si>
  <si>
    <t>de l'assiette éligible FEDER TTC financée par endettement de l'OHLM</t>
  </si>
  <si>
    <t>précisez : EDF,…</t>
  </si>
  <si>
    <t>report de surcompensation limité à 10% de la compensation annuelle en déduction de futures compensations</t>
  </si>
  <si>
    <t>en déduction de futures compensations (max 10% compensation annuelle) soit un report maxi de surcompensation =</t>
  </si>
  <si>
    <t>Compensation (articles 2.1.c et 4.d)</t>
  </si>
  <si>
    <t>Garantie</t>
  </si>
  <si>
    <t>Investissement</t>
  </si>
  <si>
    <t>BENEFICE</t>
  </si>
  <si>
    <t>COUT TOTAL</t>
  </si>
  <si>
    <t>Coûts nets</t>
  </si>
  <si>
    <t>Pertes</t>
  </si>
  <si>
    <t>Vente CEE</t>
  </si>
  <si>
    <t>durée prêt principal</t>
  </si>
  <si>
    <t>Subventions</t>
  </si>
  <si>
    <t>Total financement</t>
  </si>
  <si>
    <t>UE - Traité</t>
  </si>
  <si>
    <t>Recettes générées par l'opération</t>
  </si>
  <si>
    <t xml:space="preserve">Durée d'utilisation </t>
  </si>
  <si>
    <t>ESB avantage TVA taux réduit</t>
  </si>
  <si>
    <t>précisez : Eco-prêt, PAM, 1% logement, …</t>
  </si>
  <si>
    <t>précisez : Eco-prêt, PAM, 1% logement,…</t>
  </si>
  <si>
    <t>précisez : Eco-prêt, PAM, 1% logement …</t>
  </si>
  <si>
    <t>Produits annexes vente KWh photovoltaïque</t>
  </si>
  <si>
    <t>Coût nets (coûts bruts - recettes)</t>
  </si>
  <si>
    <t>ans</t>
  </si>
  <si>
    <t>(1) : en matière de rénovation thermique, le taux réduit de TVA n'est pas une disposition propre au SIEG de logement social</t>
  </si>
  <si>
    <t>dont taux de compensation FEDER</t>
  </si>
  <si>
    <t>Solde (2)</t>
  </si>
  <si>
    <t>taux de compensation (3)</t>
  </si>
  <si>
    <t>(3) le taux de compensation doit être inférieur ou égal à 100%</t>
  </si>
  <si>
    <r>
      <t>Nature de l'opération</t>
    </r>
    <r>
      <rPr>
        <sz val="8"/>
        <rFont val="Arial"/>
        <family val="2"/>
      </rPr>
      <t xml:space="preserve"> : investissement dans une infrastructure nécessaire au fonctionnement du SIEG de logement social</t>
    </r>
  </si>
  <si>
    <t>recomposition des fonds propres investis rémunérés au taux du livret A (art.5.8)</t>
  </si>
  <si>
    <t>Contrôle d'absence de surcompensation</t>
  </si>
  <si>
    <t>RENOVATION THERMIQUE DE LOGEMENTS SOCIAUX</t>
  </si>
  <si>
    <t>Total investissement généré (assiette éligible FEDER TTC)</t>
  </si>
  <si>
    <t>mais une disposition d'ordre général dont bénéficie tout investisseur en travaux de rénovation thermique de logements</t>
  </si>
  <si>
    <t>part du FEDER / compensation</t>
  </si>
  <si>
    <t>Aide d'Etat compatible si absence de surcompensation : décision</t>
  </si>
  <si>
    <t>Feuillet 2</t>
  </si>
  <si>
    <t>Feuillet 3</t>
  </si>
  <si>
    <t>précisez :</t>
  </si>
  <si>
    <t>Taux de TVA</t>
  </si>
  <si>
    <t xml:space="preserve"> ! données à proratiser sur base de l'assiette éligible FEDER TTC</t>
  </si>
  <si>
    <t>Taux d'impayés de référence</t>
  </si>
  <si>
    <t>Taux de vacance de référence</t>
  </si>
  <si>
    <t>CCH</t>
  </si>
  <si>
    <t>année de référence</t>
  </si>
  <si>
    <t>si négatif : surcompensation à rembourser</t>
  </si>
  <si>
    <t>CUS</t>
  </si>
  <si>
    <t>Convention APL</t>
  </si>
  <si>
    <t>SIEG</t>
  </si>
  <si>
    <t xml:space="preserve"> Produits annexes : vente KWh photovoltaïque…</t>
  </si>
  <si>
    <t>Rétrocession CEE à une autorité publique</t>
  </si>
  <si>
    <t>Produits annexes : vente CEE</t>
  </si>
  <si>
    <t>Vente KWh</t>
  </si>
  <si>
    <t>Rétrocession CEE</t>
  </si>
  <si>
    <t>produits annexes (vente de CEE, vente de Kwh photovoltaiques)</t>
  </si>
  <si>
    <t>RENOVATION THERMIQUE DE LOGEMENTS SOCIAUX - Régime des compensations de service public</t>
  </si>
  <si>
    <t>article 106.2 du Traité sur le fonctionnement de l'Union européenne (TFUE)</t>
  </si>
  <si>
    <t>article R353 CCH complète ce mandat législatif par une convention logement par logement définissant les OSP en matière d'occupation des logements</t>
  </si>
  <si>
    <t>Pièces justificatives</t>
  </si>
  <si>
    <t>Note DHUP 281211</t>
  </si>
  <si>
    <t>Délibération</t>
  </si>
  <si>
    <t>Contrat de cession</t>
  </si>
  <si>
    <t>Convention</t>
  </si>
  <si>
    <t>Offre de prêt</t>
  </si>
  <si>
    <t>prise en compte des coûts liés aux investissements nécessaires à l'exécution du SIEG</t>
  </si>
  <si>
    <r>
      <t xml:space="preserve">année 1 / recettes brutes imputables FEDER </t>
    </r>
    <r>
      <rPr>
        <b/>
        <sz val="8"/>
        <rFont val="Arial"/>
        <family val="2"/>
      </rPr>
      <t>OSP attributions - occupation sociale</t>
    </r>
  </si>
  <si>
    <t>Acte dégrèvement</t>
  </si>
  <si>
    <t>Coût de l'investissement en rénovation thermique</t>
  </si>
  <si>
    <t>Fonds propres investis</t>
  </si>
  <si>
    <t>Part du FEDER dans la compensation globale</t>
  </si>
  <si>
    <t>% de la subvention FEDER dans l'ensemble de la compensation de l'opération</t>
  </si>
  <si>
    <t>absence de surcompensation de l'opération si inférieur ou égal à 100%</t>
  </si>
  <si>
    <t>si valeur positive : absence de surcompensation, marge d'aides ou de recettes avant surcompensation</t>
  </si>
  <si>
    <t>si valeur négative : surcompensation non nécessaire à l'exécution du SIEG à rembourser ou à reporter partiellement</t>
  </si>
  <si>
    <t>nature</t>
  </si>
  <si>
    <t>Mandat OHLM</t>
  </si>
  <si>
    <t>Calcul établi sur base de la durée d'amortissement du prêt principal</t>
  </si>
  <si>
    <t>Compensation totale</t>
  </si>
  <si>
    <t>(taux de couverture des coûts nets et du bénéfice raisonnable par le FEDER)</t>
  </si>
  <si>
    <t>(part de la subvention FEDER dans la compensation totale)</t>
  </si>
  <si>
    <t>Calculs détaillés</t>
  </si>
  <si>
    <t>Plan de financement détaillé de l'opération (assiette éligible FEDER TTC)</t>
  </si>
  <si>
    <t>3- L'aide à l'opération de rénovation thermique de logements sociaux doit se limiter à couvrir les coûts liés aux investissements nécessaires, moins les recettes générées, plus un bénéfice raisonnable</t>
  </si>
  <si>
    <t>TVA</t>
  </si>
  <si>
    <t>TFPB</t>
  </si>
  <si>
    <t>dégrèvement N+2</t>
  </si>
  <si>
    <t>taux réduit (hors aide, non spécifique SIEG)</t>
  </si>
  <si>
    <t>assiette éligible FEDER</t>
  </si>
  <si>
    <t>sous condition de mandat des OHLM (art.4), note justificative :</t>
  </si>
  <si>
    <t>Fonds propres investis par l'organisme HLM bénéficiaire du FEDER</t>
  </si>
  <si>
    <t>Emprunts contractés par l'organisme HLM bénéficiaire du FEDER</t>
  </si>
  <si>
    <t>Total coûts nets</t>
  </si>
  <si>
    <t>Le bénéfice raisonnable (art.5.5 à 5.8) sur durée du prêt principal (valeur actuelle)</t>
  </si>
  <si>
    <t>TOTAL BRUT</t>
  </si>
  <si>
    <t>TOTAL NET</t>
  </si>
  <si>
    <t>La compensation = la somme des "cocompensations" directes et indirectes, dont FEDER</t>
  </si>
  <si>
    <t>TOTAL</t>
  </si>
  <si>
    <t>Taux d'actualisation</t>
  </si>
  <si>
    <t>CRD</t>
  </si>
  <si>
    <t>(rendement des capitaux propres moyen (art.5.8) sur durée d'amortissement)</t>
  </si>
  <si>
    <t>annuités</t>
  </si>
  <si>
    <t>intérêts</t>
  </si>
  <si>
    <t>valeur actuelle</t>
  </si>
  <si>
    <r>
      <t xml:space="preserve">Fonds propres investis par l'OHLM - </t>
    </r>
    <r>
      <rPr>
        <b/>
        <sz val="8"/>
        <rFont val="Arial"/>
        <family val="2"/>
      </rPr>
      <t>OSP fonds propres revolving SIEG</t>
    </r>
  </si>
  <si>
    <t>Endettement de l'OHLM</t>
  </si>
  <si>
    <t>Fonds propres mobilisés par l'OHLM</t>
  </si>
  <si>
    <t>Subventions directes</t>
  </si>
  <si>
    <t>dont FEDER</t>
  </si>
  <si>
    <t xml:space="preserve">2- La compensation ne peut exécéder ce qui est nécessaire à l'exécution de ces obligations de service public (OSP) qui sont imposées à l'OHLM par l'Etat, à savoir : </t>
  </si>
  <si>
    <t>Recettes</t>
  </si>
  <si>
    <t>mesure du programme opérationnel régional (PO) dans laquelle s'inscrit le projet</t>
  </si>
  <si>
    <t>recettes 3ème ligne</t>
  </si>
  <si>
    <r>
      <t xml:space="preserve">euros/an sur 15 ans - 3ème ligne de quittance, </t>
    </r>
    <r>
      <rPr>
        <b/>
        <sz val="8"/>
        <rFont val="Arial"/>
        <family val="2"/>
      </rPr>
      <t>OSP tarifaire</t>
    </r>
  </si>
  <si>
    <t>euros/an (recettes imputables à l'opération FEDER en rénovation thermique)</t>
  </si>
  <si>
    <t>Autres sources de recettes potentielles</t>
  </si>
  <si>
    <t>Garantie des emprunts</t>
  </si>
  <si>
    <t>Taux moyen du livret A sur long terme</t>
  </si>
  <si>
    <t>Charge d'intérêts des emprunts</t>
  </si>
  <si>
    <t>Calcul automatique des paramètres nécessaires au contrôle d'absence de surcompensation (ne pas modifier)</t>
  </si>
  <si>
    <t>Commentaire - méthode de calcul - recommandations</t>
  </si>
  <si>
    <r>
      <t>Données relevant d'</t>
    </r>
    <r>
      <rPr>
        <b/>
        <sz val="8"/>
        <rFont val="Arial"/>
        <family val="2"/>
      </rPr>
      <t>Obligations de Service Public</t>
    </r>
    <r>
      <rPr>
        <sz val="8"/>
        <rFont val="Arial"/>
        <family val="2"/>
      </rPr>
      <t xml:space="preserve"> imposées par l'Etat à l'OHLM au titre du SIEG de logement social et justifiant le régime des compensations</t>
    </r>
  </si>
  <si>
    <t>Notice explicative précisant les dispositions de la décision CE, leur application effective à l'opération, les méthodes de calcul retenues et le résultat du test</t>
  </si>
  <si>
    <t>Nom de l'opération - quartier…</t>
  </si>
  <si>
    <t>code présage (code délivré par le service instructeur en cas d'acceptation du dossier)</t>
  </si>
  <si>
    <t>date de référence de l'opération</t>
  </si>
  <si>
    <t>part de l'assiette éligible FEDER dans le total de l'opération</t>
  </si>
  <si>
    <r>
      <t xml:space="preserve">euros/m2/an de surface corrigée </t>
    </r>
    <r>
      <rPr>
        <b/>
        <sz val="8"/>
        <rFont val="Arial"/>
        <family val="2"/>
      </rPr>
      <t>OSP tarifaire : loyer plafond - accessibilité tarifaire des logements sociaux</t>
    </r>
  </si>
  <si>
    <t>Produits annexes : vente de certificats d'économie d'énergie</t>
  </si>
  <si>
    <t>Dégrèvement de TFPB rénovation thermique</t>
  </si>
  <si>
    <r>
      <t xml:space="preserve">Fonds propres investis par l'OHLM pour boucler le plan de financement - </t>
    </r>
    <r>
      <rPr>
        <b/>
        <sz val="8"/>
        <rFont val="Arial"/>
        <family val="2"/>
      </rPr>
      <t>OSP fonds revolving SIEG</t>
    </r>
  </si>
  <si>
    <t>Coûts bruts de référence occasionnés par les travaux de rénovation thermique pour l'OHLM (articles 5.3.a et 5.3.d)</t>
  </si>
  <si>
    <t>Recettes strictement liées aux travaux de rénovation thermique cofinancés par le FEDER</t>
  </si>
  <si>
    <t>pm assiette éligible FEDER</t>
  </si>
  <si>
    <r>
      <t xml:space="preserve">Tour de table des cofinanceurs à l'initiative de l'OHLM - </t>
    </r>
    <r>
      <rPr>
        <b/>
        <sz val="8"/>
        <rFont val="Arial"/>
        <family val="2"/>
      </rPr>
      <t>OSP offre de logements à loyer modéré - rénovation</t>
    </r>
  </si>
  <si>
    <t>3ème ligne quittance rénovation thermique</t>
  </si>
  <si>
    <t>25% de l'investissement en N+2, montant maximal légal à négocier avec les services fiscaux locaux</t>
  </si>
  <si>
    <t>Réhabilitation thermique de 352 logements, adresse/lieu</t>
  </si>
  <si>
    <t>Détail des calculs de coûts nets, du bénéfice raisonnable et du montant de la compensation - calculs automatiques, pas de données à compléter</t>
  </si>
  <si>
    <r>
      <t xml:space="preserve">Données de base de l'opération d'investissement à renseigner </t>
    </r>
    <r>
      <rPr>
        <b/>
        <sz val="8"/>
        <rFont val="Arial"/>
        <family val="2"/>
      </rPr>
      <t>obligatoirement</t>
    </r>
    <r>
      <rPr>
        <sz val="8"/>
        <rFont val="Arial"/>
        <family val="2"/>
      </rPr>
      <t xml:space="preserve"> par l'OHLM chargé de la gestion du SIEG et bénéficiaire du FEDER</t>
    </r>
  </si>
  <si>
    <t>Coût de la garantie des emprunts</t>
  </si>
  <si>
    <r>
      <t>Garantie publique gratuite de collectivités locales ou garantie payante CGLLS (</t>
    </r>
    <r>
      <rPr>
        <b/>
        <sz val="8"/>
        <color indexed="10"/>
        <rFont val="Arial"/>
        <family val="2"/>
      </rPr>
      <t>OSP continuité financière du SIEG</t>
    </r>
    <r>
      <rPr>
        <b/>
        <sz val="8"/>
        <rFont val="Arial"/>
        <family val="2"/>
      </rPr>
      <t>)</t>
    </r>
  </si>
  <si>
    <t>report de surcompensation (10%) soit</t>
  </si>
  <si>
    <t>compensation = subventions + dégrèvement TFPB (potentiel) + ESB (taux réduit TVA, garantie publique…)</t>
  </si>
  <si>
    <t>2% du montant des prêts contractés</t>
  </si>
  <si>
    <t>Annuités</t>
  </si>
  <si>
    <t>Contrôle d'absence de surcompensation d'une opération d'investissement en rénovation thermique de logements sociaux (SIEG)</t>
  </si>
  <si>
    <t>Rappel des bases juridiques du régime des compensations d'obligations de service public applicable aux organismes d'HLM (OHLM)</t>
  </si>
  <si>
    <t>Droit interne : mandat législatif des OHLM (CCH) complété par des mandats individuels par OHLM (convention d'utilité sociale) et par logement (convention APL).</t>
  </si>
  <si>
    <t>Un "test prévisionnel" à joindre au dossier d'instruction et à annexer à la convention attributive du FEDER</t>
  </si>
  <si>
    <t>Acte législatif de mandat collectif des OHLM de la gestion du SIEG de logement social, complété par Convention d'Utilité Sociale (CUS) et Convention APL</t>
  </si>
  <si>
    <t>Taux d'intérêt</t>
  </si>
  <si>
    <t>Intérêts</t>
  </si>
  <si>
    <t>Ammortissement</t>
  </si>
  <si>
    <t>article 106.2 TFUE</t>
  </si>
  <si>
    <r>
      <t xml:space="preserve">décision CE de compatibilité a priori </t>
    </r>
    <r>
      <rPr>
        <u val="single"/>
        <sz val="8"/>
        <rFont val="Arial"/>
        <family val="2"/>
      </rPr>
      <t>d'application directe</t>
    </r>
    <r>
      <rPr>
        <sz val="8"/>
        <rFont val="Arial"/>
        <family val="2"/>
      </rPr>
      <t xml:space="preserve"> aux OHLM (sans transposition en droit interne)</t>
    </r>
  </si>
  <si>
    <t>UE - Décision CE 2012/21/UE - dispositions spécifiques au SIEG de logement social - articles de référence</t>
  </si>
  <si>
    <t>Report de surcompensation éventuelle (art.6.2)</t>
  </si>
  <si>
    <r>
      <t xml:space="preserve">. obligation de fournir cette offre dans le respect de loyers plafonds fixés par l'Etat : </t>
    </r>
    <r>
      <rPr>
        <b/>
        <sz val="8"/>
        <rFont val="Arial"/>
        <family val="2"/>
      </rPr>
      <t>OSP tarifaire - accessibilité</t>
    </r>
  </si>
  <si>
    <r>
      <t xml:space="preserve">. obligation de participer à des mécanismes de garantie mutuelle à des fins de continuité financière du service public (CGLLS) : </t>
    </r>
    <r>
      <rPr>
        <b/>
        <sz val="8"/>
        <rFont val="Arial"/>
        <family val="2"/>
      </rPr>
      <t>OSP continuité financière - mutualisation des risques</t>
    </r>
  </si>
  <si>
    <t>logements sociaux à rénover thermiquement</t>
  </si>
  <si>
    <r>
      <t xml:space="preserve">Indice de référence, Etat (DHUP) </t>
    </r>
    <r>
      <rPr>
        <b/>
        <sz val="8"/>
        <rFont val="Arial"/>
        <family val="2"/>
      </rPr>
      <t>OSP tarifaire</t>
    </r>
  </si>
  <si>
    <r>
      <t xml:space="preserve">taux d'impayés de référence fixée par l'Etat (DHUP) </t>
    </r>
    <r>
      <rPr>
        <b/>
        <sz val="8"/>
        <rFont val="Arial"/>
        <family val="2"/>
      </rPr>
      <t>OSP attributions - occupation sociale</t>
    </r>
  </si>
  <si>
    <r>
      <t xml:space="preserve">taux de vacance de référence fixée par l'Etat (DHUP) </t>
    </r>
    <r>
      <rPr>
        <b/>
        <sz val="8"/>
        <rFont val="Arial"/>
        <family val="2"/>
      </rPr>
      <t>OSP attributions - occupation sociale</t>
    </r>
  </si>
  <si>
    <t>montant de la rétrocession des CEE à l'autorité publique en contrepartie de la subvention</t>
  </si>
  <si>
    <t>Emprunts contractés par l'OHLM</t>
  </si>
  <si>
    <t>Conformément à l'article 106.2 du Traité, l'Union européenne ne peut interdire ce qui est nécessaire à l'exécution d'un SIEG et ne nuit pas à l'intérêt de l'Union et au développement des échanges intracommunautaires</t>
  </si>
  <si>
    <t>Majoration permanente des loyers</t>
  </si>
  <si>
    <t>total des subventions à l'investissement mobilisées par l'OHLM, y compris FEDER</t>
  </si>
  <si>
    <t>N+2 (valeur actuelle), dégrèvement potentiel max, application selon pratique locale des centres des impôts</t>
  </si>
  <si>
    <t>10% de la compensation annuelle en déduction du futures compensations</t>
  </si>
  <si>
    <t>taux d'actualisation (donnée Etat DHUP)</t>
  </si>
  <si>
    <t>COMPENSATIONS</t>
  </si>
  <si>
    <t>charge d'intérêts cumulés</t>
  </si>
  <si>
    <t>Test établi sur la durée de remboursement du prêt principal soit :</t>
  </si>
  <si>
    <t>non recettes liées aux impayés et à la vacance (taux de référence Etat DHUP)</t>
  </si>
  <si>
    <t>Coûts des investissements nécessaires retenus : assiette éligible FEDER TTC + charge d'intérêts des emprunts + frais de garantie des emprunts</t>
  </si>
  <si>
    <t>Recettes locatives : recettes actualisées générées par une majoration des loyers imputable à l'opération (donnée proratisée, valeur actuelle)</t>
  </si>
  <si>
    <t>non nécessaire à l'exécution du SIEG qui doit faire l'objet d'un remboursement car considérée commme étant "susceptible</t>
  </si>
  <si>
    <t>de fausser la concurrence au sein du marché intérieur et d'affecter le développement des échanges intracommunautaires"</t>
  </si>
  <si>
    <t>en accordant un avantage économique à l'OHLM bénéficiaire.</t>
  </si>
  <si>
    <t>Un report de surcompensation éventuelle en déduction de futures compensations est toutefois autorisé à concurrence de :</t>
  </si>
  <si>
    <t>report de surcompensation éventuelle (2)</t>
  </si>
  <si>
    <t>(10% du montant de la compensation annuelle)</t>
  </si>
  <si>
    <t>(2) si le solde est positif, il s'agit de la marge d'aides ou de recettes avant surcompensation. S'il est négatif, il s'agit d'une surcompensation</t>
  </si>
  <si>
    <t>En conséquence, le remboursement effectif d'une éventuelle surcompensation ne peut intervenir qu'au-dela de ce montant.</t>
  </si>
  <si>
    <t>m2 de surface corrigée (après travaux), donnée utile au calcul des recettes et taxes</t>
  </si>
  <si>
    <t>m2 de surface habitable (après travaux), donnée utile au calcul des recettes et taxes</t>
  </si>
  <si>
    <t>part du coût éligible FEDER sur l'ensemble du coût de la rénovation</t>
  </si>
  <si>
    <t>euros/m2/an de surface corrigée (majoration imputable assiette éligible FEDER)</t>
  </si>
  <si>
    <t>euros/an (majoration imputable à l'opération FEDER - assiette éligible FEDER)</t>
  </si>
  <si>
    <r>
      <t>OSP</t>
    </r>
    <r>
      <rPr>
        <sz val="8"/>
        <color indexed="10"/>
        <rFont val="Arial"/>
        <family val="2"/>
      </rPr>
      <t xml:space="preserve"> (Loyer maximum à ne pas dépasser convention APL)</t>
    </r>
  </si>
  <si>
    <t>Majoration de loyers après travaux</t>
  </si>
  <si>
    <t>Taux d'augmentation du loyers imputable aux travaux dans la limite du plafond de loyer (OSP)</t>
  </si>
  <si>
    <t>Total subventions</t>
  </si>
  <si>
    <t>Subventions mobilisées par l'OHLM</t>
  </si>
  <si>
    <r>
      <t xml:space="preserve">Spécificité : </t>
    </r>
    <r>
      <rPr>
        <sz val="8"/>
        <rFont val="Arial"/>
        <family val="2"/>
      </rPr>
      <t>cofinancement des investissements nécessaires par des aides publiques, dont FEDER</t>
    </r>
  </si>
  <si>
    <t>Aides publiques mobilisées par l'organisme HLM, dont FEDER</t>
  </si>
  <si>
    <t>Total des subventions, y compris FEDER</t>
  </si>
  <si>
    <t>dont recomposition des fonds propres</t>
  </si>
  <si>
    <t>dont rémunération des fonds propres</t>
  </si>
  <si>
    <t>Coûts nets + Bénéfice raisonnable - compensations</t>
  </si>
  <si>
    <t>Recomposition des fonds propres investis sur la durée d'utilisation - OSP fonds propres revolving SIEG</t>
  </si>
  <si>
    <t>Rémunération des fonds propres investis au taux moyen du livret A</t>
  </si>
  <si>
    <t>Taux d'intervention du FEDER applicable à l'opération</t>
  </si>
  <si>
    <t>Rappel : Plan de financement de l'investissement (assiette éligible FEDER TTC)</t>
  </si>
  <si>
    <t>Assiette éligible FEDER TTC / ensemble des travaux</t>
  </si>
  <si>
    <t>les coûts bruts éligibles à l'assiette FEDER (art.5.3 dont art.5.3.d relatif aux investissements)</t>
  </si>
  <si>
    <t>total coûts bruts éligibles FEDER</t>
  </si>
  <si>
    <t>les recettes éventuelles générées sur base de l'assiette FEDER (art.5.4)</t>
  </si>
  <si>
    <t>majoration des loyers imputable aux travaux de rénovation thermique (assiette FEDER)</t>
  </si>
  <si>
    <t>Compensation sous forme de subventions : montant des subventions mobilisées par l'OHLM, dont FEDER (donnée proratisée)</t>
  </si>
  <si>
    <t>MODE D'EMPLOI : pour l'OHLM chargé de la gestion du SIEG de logement social et bénéficiaire du FEDER : compléter les cases jaunes</t>
  </si>
  <si>
    <t>TEST ACTUALISE - PAIEMENT DU SOLDE</t>
  </si>
  <si>
    <t>date de décision d'attribution du comité de programmation</t>
  </si>
  <si>
    <t>Majoration de loyer (au prorata de l'assiette FEDER)</t>
  </si>
  <si>
    <t>année de décision d'attribution du FEDER par le comité de programmation</t>
  </si>
  <si>
    <t xml:space="preserve"> Version du 13 novembre 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</si>
</sst>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_ ;\-#,##0\ "/>
    <numFmt numFmtId="166" formatCode="#,##0.00_ ;\-#,##0.00\ "/>
    <numFmt numFmtId="167" formatCode="#,##0_ ;[Red]\-#,##0\ "/>
    <numFmt numFmtId="168" formatCode="#,##0.00\ &quot;€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i/>
      <sz val="8"/>
      <name val="Arial"/>
      <family val="2"/>
    </font>
    <font>
      <u val="single"/>
      <sz val="8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b/>
      <i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/>
    </border>
    <border>
      <left/>
      <right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 style="medium"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/>
      <top/>
      <bottom style="thin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 style="medium"/>
    </border>
    <border>
      <left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/>
    </border>
    <border>
      <left/>
      <right>
        <color indexed="63"/>
      </right>
      <top/>
      <bottom style="medium"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>
        <color indexed="63"/>
      </top>
      <bottom style="medium"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0" fillId="21" borderId="3" applyNumberFormat="0" applyFont="0" applyAlignment="0" applyProtection="0"/>
    <xf numFmtId="0" fontId="26" fillId="7" borderId="1" applyNumberFormat="0" applyAlignment="0" applyProtection="0"/>
    <xf numFmtId="44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7" fillId="20" borderId="4" applyNumberFormat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0" fillId="23" borderId="9" applyNumberFormat="0" applyAlignment="0" applyProtection="0"/>
  </cellStyleXfs>
  <cellXfs count="6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4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3" fillId="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166" fontId="2" fillId="0" borderId="0" xfId="44" applyNumberFormat="1" applyFont="1" applyFill="1" applyBorder="1" applyAlignment="1">
      <alignment/>
    </xf>
    <xf numFmtId="0" fontId="2" fillId="4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 shrinkToFit="1"/>
    </xf>
    <xf numFmtId="49" fontId="4" fillId="0" borderId="0" xfId="0" applyNumberFormat="1" applyFont="1" applyFill="1" applyBorder="1" applyAlignment="1">
      <alignment shrinkToFit="1"/>
    </xf>
    <xf numFmtId="49" fontId="2" fillId="0" borderId="0" xfId="0" applyNumberFormat="1" applyFont="1" applyBorder="1" applyAlignment="1">
      <alignment readingOrder="1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6" fontId="4" fillId="0" borderId="0" xfId="44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4" borderId="0" xfId="0" applyFont="1" applyFill="1" applyBorder="1" applyAlignment="1">
      <alignment/>
    </xf>
    <xf numFmtId="10" fontId="2" fillId="4" borderId="0" xfId="53" applyNumberFormat="1" applyFont="1" applyFill="1" applyBorder="1" applyAlignment="1">
      <alignment/>
    </xf>
    <xf numFmtId="10" fontId="2" fillId="0" borderId="0" xfId="44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0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4" fillId="0" borderId="0" xfId="53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49" fontId="0" fillId="4" borderId="0" xfId="0" applyNumberFormat="1" applyFill="1" applyBorder="1" applyAlignment="1">
      <alignment/>
    </xf>
    <xf numFmtId="49" fontId="2" fillId="4" borderId="0" xfId="0" applyNumberFormat="1" applyFont="1" applyFill="1" applyAlignment="1">
      <alignment horizontal="right"/>
    </xf>
    <xf numFmtId="49" fontId="6" fillId="4" borderId="0" xfId="53" applyNumberFormat="1" applyFont="1" applyFill="1" applyBorder="1" applyAlignment="1">
      <alignment/>
    </xf>
    <xf numFmtId="49" fontId="5" fillId="4" borderId="0" xfId="0" applyNumberFormat="1" applyFont="1" applyFill="1" applyAlignment="1">
      <alignment/>
    </xf>
    <xf numFmtId="49" fontId="0" fillId="4" borderId="0" xfId="0" applyNumberFormat="1" applyFill="1" applyAlignment="1">
      <alignment/>
    </xf>
    <xf numFmtId="4" fontId="2" fillId="0" borderId="0" xfId="0" applyNumberFormat="1" applyFont="1" applyBorder="1" applyAlignment="1">
      <alignment/>
    </xf>
    <xf numFmtId="4" fontId="5" fillId="0" borderId="0" xfId="0" applyNumberFormat="1" applyFont="1" applyFill="1" applyAlignment="1">
      <alignment/>
    </xf>
    <xf numFmtId="14" fontId="2" fillId="24" borderId="0" xfId="0" applyNumberFormat="1" applyFont="1" applyFill="1" applyBorder="1" applyAlignment="1">
      <alignment horizontal="center"/>
    </xf>
    <xf numFmtId="4" fontId="2" fillId="24" borderId="0" xfId="0" applyNumberFormat="1" applyFont="1" applyFill="1" applyBorder="1" applyAlignment="1">
      <alignment/>
    </xf>
    <xf numFmtId="166" fontId="2" fillId="24" borderId="0" xfId="44" applyNumberFormat="1" applyFont="1" applyFill="1" applyBorder="1" applyAlignment="1">
      <alignment/>
    </xf>
    <xf numFmtId="10" fontId="2" fillId="0" borderId="0" xfId="44" applyNumberFormat="1" applyFont="1" applyFill="1" applyBorder="1" applyAlignment="1">
      <alignment/>
    </xf>
    <xf numFmtId="2" fontId="2" fillId="24" borderId="0" xfId="53" applyNumberFormat="1" applyFont="1" applyFill="1" applyBorder="1" applyAlignment="1">
      <alignment/>
    </xf>
    <xf numFmtId="4" fontId="2" fillId="24" borderId="0" xfId="53" applyNumberFormat="1" applyFont="1" applyFill="1" applyBorder="1" applyAlignment="1">
      <alignment/>
    </xf>
    <xf numFmtId="4" fontId="2" fillId="0" borderId="0" xfId="53" applyNumberFormat="1" applyFont="1" applyFill="1" applyBorder="1" applyAlignment="1">
      <alignment/>
    </xf>
    <xf numFmtId="4" fontId="2" fillId="24" borderId="0" xfId="53" applyNumberFormat="1" applyFont="1" applyFill="1" applyBorder="1" applyAlignment="1">
      <alignment/>
    </xf>
    <xf numFmtId="166" fontId="2" fillId="24" borderId="0" xfId="44" applyNumberFormat="1" applyFont="1" applyFill="1" applyBorder="1" applyAlignment="1">
      <alignment/>
    </xf>
    <xf numFmtId="10" fontId="2" fillId="24" borderId="0" xfId="44" applyNumberFormat="1" applyFont="1" applyFill="1" applyBorder="1" applyAlignment="1">
      <alignment/>
    </xf>
    <xf numFmtId="49" fontId="7" fillId="0" borderId="0" xfId="46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>
      <alignment/>
    </xf>
    <xf numFmtId="49" fontId="6" fillId="0" borderId="0" xfId="53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4" fontId="4" fillId="0" borderId="0" xfId="44" applyNumberFormat="1" applyFont="1" applyFill="1" applyBorder="1" applyAlignment="1">
      <alignment/>
    </xf>
    <xf numFmtId="2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Border="1" applyAlignment="1">
      <alignment/>
    </xf>
    <xf numFmtId="49" fontId="5" fillId="4" borderId="0" xfId="0" applyNumberFormat="1" applyFont="1" applyFill="1" applyAlignment="1">
      <alignment/>
    </xf>
    <xf numFmtId="49" fontId="2" fillId="4" borderId="0" xfId="46" applyNumberFormat="1" applyFont="1" applyFill="1" applyBorder="1" applyAlignment="1" applyProtection="1">
      <alignment/>
      <protection/>
    </xf>
    <xf numFmtId="49" fontId="2" fillId="4" borderId="0" xfId="53" applyNumberFormat="1" applyFont="1" applyFill="1" applyBorder="1" applyAlignment="1">
      <alignment/>
    </xf>
    <xf numFmtId="4" fontId="4" fillId="0" borderId="0" xfId="44" applyNumberFormat="1" applyFont="1" applyFill="1" applyBorder="1" applyAlignment="1">
      <alignment/>
    </xf>
    <xf numFmtId="2" fontId="2" fillId="0" borderId="0" xfId="0" applyNumberFormat="1" applyFont="1" applyFill="1" applyAlignment="1">
      <alignment horizontal="right"/>
    </xf>
    <xf numFmtId="2" fontId="6" fillId="0" borderId="0" xfId="53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2" fillId="4" borderId="0" xfId="0" applyNumberFormat="1" applyFont="1" applyFill="1" applyBorder="1" applyAlignment="1">
      <alignment/>
    </xf>
    <xf numFmtId="2" fontId="5" fillId="4" borderId="0" xfId="0" applyNumberFormat="1" applyFont="1" applyFill="1" applyAlignment="1">
      <alignment/>
    </xf>
    <xf numFmtId="2" fontId="2" fillId="4" borderId="0" xfId="0" applyNumberFormat="1" applyFont="1" applyFill="1" applyAlignment="1">
      <alignment/>
    </xf>
    <xf numFmtId="49" fontId="2" fillId="4" borderId="0" xfId="0" applyNumberFormat="1" applyFont="1" applyFill="1" applyAlignment="1">
      <alignment/>
    </xf>
    <xf numFmtId="2" fontId="2" fillId="4" borderId="0" xfId="46" applyNumberFormat="1" applyFont="1" applyFill="1" applyBorder="1" applyAlignment="1" applyProtection="1">
      <alignment/>
      <protection/>
    </xf>
    <xf numFmtId="2" fontId="2" fillId="4" borderId="0" xfId="53" applyNumberFormat="1" applyFont="1" applyFill="1" applyBorder="1" applyAlignment="1">
      <alignment/>
    </xf>
    <xf numFmtId="2" fontId="2" fillId="0" borderId="0" xfId="53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10" fontId="2" fillId="24" borderId="0" xfId="0" applyNumberFormat="1" applyFont="1" applyFill="1" applyAlignment="1">
      <alignment/>
    </xf>
    <xf numFmtId="166" fontId="4" fillId="24" borderId="0" xfId="44" applyNumberFormat="1" applyFont="1" applyFill="1" applyBorder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49" fontId="2" fillId="4" borderId="0" xfId="46" applyNumberFormat="1" applyFont="1" applyFill="1" applyBorder="1" applyAlignment="1" applyProtection="1">
      <alignment/>
      <protection/>
    </xf>
    <xf numFmtId="49" fontId="0" fillId="4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6" fillId="4" borderId="0" xfId="0" applyFont="1" applyFill="1" applyAlignment="1">
      <alignment horizontal="right"/>
    </xf>
    <xf numFmtId="10" fontId="6" fillId="4" borderId="0" xfId="53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10" fontId="4" fillId="0" borderId="0" xfId="44" applyNumberFormat="1" applyFont="1" applyFill="1" applyBorder="1" applyAlignment="1">
      <alignment horizontal="center"/>
    </xf>
    <xf numFmtId="2" fontId="4" fillId="0" borderId="0" xfId="46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12" xfId="0" applyFont="1" applyBorder="1" applyAlignment="1">
      <alignment horizontal="right"/>
    </xf>
    <xf numFmtId="4" fontId="2" fillId="0" borderId="13" xfId="44" applyNumberFormat="1" applyFont="1" applyFill="1" applyBorder="1" applyAlignment="1">
      <alignment/>
    </xf>
    <xf numFmtId="0" fontId="2" fillId="0" borderId="14" xfId="0" applyFont="1" applyBorder="1" applyAlignment="1">
      <alignment horizontal="right"/>
    </xf>
    <xf numFmtId="4" fontId="2" fillId="0" borderId="15" xfId="44" applyNumberFormat="1" applyFont="1" applyFill="1" applyBorder="1" applyAlignment="1">
      <alignment/>
    </xf>
    <xf numFmtId="4" fontId="4" fillId="0" borderId="15" xfId="44" applyNumberFormat="1" applyFont="1" applyFill="1" applyBorder="1" applyAlignment="1">
      <alignment/>
    </xf>
    <xf numFmtId="4" fontId="2" fillId="0" borderId="14" xfId="0" applyNumberFormat="1" applyFont="1" applyBorder="1" applyAlignment="1">
      <alignment horizontal="right"/>
    </xf>
    <xf numFmtId="166" fontId="2" fillId="0" borderId="14" xfId="0" applyNumberFormat="1" applyFont="1" applyBorder="1" applyAlignment="1">
      <alignment horizontal="right"/>
    </xf>
    <xf numFmtId="49" fontId="7" fillId="25" borderId="0" xfId="46" applyNumberFormat="1" applyFont="1" applyFill="1" applyBorder="1" applyAlignment="1" applyProtection="1">
      <alignment/>
      <protection/>
    </xf>
    <xf numFmtId="49" fontId="0" fillId="25" borderId="0" xfId="0" applyNumberFormat="1" applyFill="1" applyBorder="1" applyAlignment="1">
      <alignment/>
    </xf>
    <xf numFmtId="49" fontId="2" fillId="25" borderId="0" xfId="0" applyNumberFormat="1" applyFont="1" applyFill="1" applyAlignment="1">
      <alignment horizontal="right"/>
    </xf>
    <xf numFmtId="49" fontId="6" fillId="25" borderId="0" xfId="53" applyNumberFormat="1" applyFont="1" applyFill="1" applyBorder="1" applyAlignment="1">
      <alignment/>
    </xf>
    <xf numFmtId="49" fontId="5" fillId="25" borderId="0" xfId="0" applyNumberFormat="1" applyFont="1" applyFill="1" applyAlignment="1">
      <alignment/>
    </xf>
    <xf numFmtId="49" fontId="0" fillId="25" borderId="0" xfId="0" applyNumberFormat="1" applyFill="1" applyAlignment="1">
      <alignment/>
    </xf>
    <xf numFmtId="0" fontId="2" fillId="20" borderId="0" xfId="0" applyFont="1" applyFill="1" applyAlignment="1">
      <alignment horizontal="left"/>
    </xf>
    <xf numFmtId="0" fontId="0" fillId="20" borderId="0" xfId="0" applyFill="1" applyAlignment="1">
      <alignment horizontal="center"/>
    </xf>
    <xf numFmtId="4" fontId="4" fillId="20" borderId="15" xfId="44" applyNumberFormat="1" applyFont="1" applyFill="1" applyBorder="1" applyAlignment="1">
      <alignment/>
    </xf>
    <xf numFmtId="4" fontId="4" fillId="20" borderId="14" xfId="0" applyNumberFormat="1" applyFont="1" applyFill="1" applyBorder="1" applyAlignment="1">
      <alignment horizontal="right"/>
    </xf>
    <xf numFmtId="0" fontId="4" fillId="20" borderId="0" xfId="0" applyFont="1" applyFill="1" applyAlignment="1">
      <alignment horizontal="left"/>
    </xf>
    <xf numFmtId="0" fontId="2" fillId="20" borderId="14" xfId="0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10" fontId="2" fillId="0" borderId="0" xfId="0" applyNumberFormat="1" applyFont="1" applyAlignment="1">
      <alignment/>
    </xf>
    <xf numFmtId="4" fontId="4" fillId="0" borderId="16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4" xfId="0" applyFont="1" applyFill="1" applyBorder="1" applyAlignment="1">
      <alignment horizontal="right"/>
    </xf>
    <xf numFmtId="166" fontId="4" fillId="0" borderId="14" xfId="0" applyNumberFormat="1" applyFont="1" applyFill="1" applyBorder="1" applyAlignment="1">
      <alignment horizontal="right"/>
    </xf>
    <xf numFmtId="0" fontId="3" fillId="20" borderId="0" xfId="0" applyFont="1" applyFill="1" applyAlignment="1">
      <alignment horizontal="center"/>
    </xf>
    <xf numFmtId="10" fontId="2" fillId="20" borderId="15" xfId="44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2" fontId="4" fillId="0" borderId="0" xfId="0" applyNumberFormat="1" applyFont="1" applyFill="1" applyAlignment="1">
      <alignment horizontal="right"/>
    </xf>
    <xf numFmtId="2" fontId="4" fillId="0" borderId="0" xfId="53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4" fontId="4" fillId="0" borderId="19" xfId="44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10" fontId="4" fillId="0" borderId="16" xfId="44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0" xfId="46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2" fontId="3" fillId="0" borderId="0" xfId="0" applyNumberFormat="1" applyFont="1" applyBorder="1" applyAlignment="1">
      <alignment/>
    </xf>
    <xf numFmtId="0" fontId="10" fillId="0" borderId="0" xfId="46" applyFont="1" applyAlignment="1" applyProtection="1">
      <alignment horizontal="center"/>
      <protection/>
    </xf>
    <xf numFmtId="2" fontId="2" fillId="0" borderId="0" xfId="0" applyNumberFormat="1" applyFont="1" applyFill="1" applyBorder="1" applyAlignment="1">
      <alignment/>
    </xf>
    <xf numFmtId="49" fontId="4" fillId="0" borderId="0" xfId="46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0" xfId="53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0" fillId="0" borderId="20" xfId="0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8" fillId="0" borderId="10" xfId="46" applyFont="1" applyBorder="1" applyAlignment="1" applyProtection="1">
      <alignment/>
      <protection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4" fontId="2" fillId="0" borderId="25" xfId="0" applyNumberFormat="1" applyFont="1" applyBorder="1" applyAlignment="1">
      <alignment/>
    </xf>
    <xf numFmtId="10" fontId="9" fillId="0" borderId="15" xfId="44" applyNumberFormat="1" applyFont="1" applyFill="1" applyBorder="1" applyAlignment="1">
      <alignment horizontal="left"/>
    </xf>
    <xf numFmtId="10" fontId="5" fillId="0" borderId="15" xfId="44" applyNumberFormat="1" applyFont="1" applyFill="1" applyBorder="1" applyAlignment="1">
      <alignment horizontal="left"/>
    </xf>
    <xf numFmtId="10" fontId="5" fillId="0" borderId="0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9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2" fillId="0" borderId="27" xfId="0" applyFont="1" applyBorder="1" applyAlignment="1">
      <alignment horizontal="right"/>
    </xf>
    <xf numFmtId="166" fontId="2" fillId="24" borderId="31" xfId="44" applyNumberFormat="1" applyFont="1" applyFill="1" applyBorder="1" applyAlignment="1">
      <alignment/>
    </xf>
    <xf numFmtId="166" fontId="2" fillId="24" borderId="32" xfId="44" applyNumberFormat="1" applyFont="1" applyFill="1" applyBorder="1" applyAlignment="1">
      <alignment/>
    </xf>
    <xf numFmtId="0" fontId="2" fillId="0" borderId="11" xfId="0" applyFont="1" applyBorder="1" applyAlignment="1">
      <alignment horizontal="right"/>
    </xf>
    <xf numFmtId="166" fontId="2" fillId="24" borderId="33" xfId="44" applyNumberFormat="1" applyFont="1" applyFill="1" applyBorder="1" applyAlignment="1">
      <alignment/>
    </xf>
    <xf numFmtId="0" fontId="2" fillId="0" borderId="30" xfId="0" applyFont="1" applyBorder="1" applyAlignment="1">
      <alignment horizontal="right"/>
    </xf>
    <xf numFmtId="166" fontId="2" fillId="24" borderId="34" xfId="44" applyNumberFormat="1" applyFont="1" applyFill="1" applyBorder="1" applyAlignment="1">
      <alignment/>
    </xf>
    <xf numFmtId="166" fontId="4" fillId="0" borderId="35" xfId="44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0" fontId="6" fillId="0" borderId="0" xfId="53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4" fillId="0" borderId="30" xfId="0" applyNumberFormat="1" applyFont="1" applyBorder="1" applyAlignment="1">
      <alignment/>
    </xf>
    <xf numFmtId="0" fontId="4" fillId="0" borderId="36" xfId="0" applyFont="1" applyBorder="1" applyAlignment="1">
      <alignment horizontal="center"/>
    </xf>
    <xf numFmtId="4" fontId="2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20" borderId="23" xfId="0" applyFont="1" applyFill="1" applyBorder="1" applyAlignment="1">
      <alignment horizontal="right"/>
    </xf>
    <xf numFmtId="4" fontId="4" fillId="20" borderId="37" xfId="44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0" fontId="2" fillId="0" borderId="0" xfId="53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2" fontId="2" fillId="0" borderId="14" xfId="0" applyNumberFormat="1" applyFont="1" applyBorder="1" applyAlignment="1">
      <alignment/>
    </xf>
    <xf numFmtId="10" fontId="5" fillId="0" borderId="15" xfId="53" applyNumberFormat="1" applyFont="1" applyBorder="1" applyAlignment="1">
      <alignment horizontal="left"/>
    </xf>
    <xf numFmtId="0" fontId="0" fillId="4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2" fillId="0" borderId="11" xfId="0" applyNumberFormat="1" applyFont="1" applyBorder="1" applyAlignment="1">
      <alignment/>
    </xf>
    <xf numFmtId="9" fontId="2" fillId="0" borderId="0" xfId="53" applyFont="1" applyAlignment="1">
      <alignment/>
    </xf>
    <xf numFmtId="9" fontId="4" fillId="0" borderId="0" xfId="53" applyFont="1" applyAlignment="1">
      <alignment/>
    </xf>
    <xf numFmtId="4" fontId="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9" fontId="3" fillId="0" borderId="0" xfId="53" applyFont="1" applyAlignment="1">
      <alignment/>
    </xf>
    <xf numFmtId="2" fontId="2" fillId="4" borderId="0" xfId="0" applyNumberFormat="1" applyFont="1" applyFill="1" applyBorder="1" applyAlignment="1">
      <alignment horizontal="right"/>
    </xf>
    <xf numFmtId="0" fontId="2" fillId="4" borderId="0" xfId="46" applyFont="1" applyFill="1" applyBorder="1" applyAlignment="1" applyProtection="1">
      <alignment/>
      <protection/>
    </xf>
    <xf numFmtId="10" fontId="4" fillId="0" borderId="16" xfId="0" applyNumberFormat="1" applyFont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2" fillId="4" borderId="16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0" xfId="46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164" fontId="2" fillId="0" borderId="0" xfId="53" applyNumberFormat="1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2" fillId="11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10" fontId="2" fillId="4" borderId="0" xfId="53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11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16" xfId="0" applyFont="1" applyBorder="1" applyAlignment="1">
      <alignment/>
    </xf>
    <xf numFmtId="0" fontId="8" fillId="25" borderId="0" xfId="46" applyFont="1" applyFill="1" applyBorder="1" applyAlignment="1" applyProtection="1">
      <alignment horizontal="center"/>
      <protection/>
    </xf>
    <xf numFmtId="10" fontId="2" fillId="25" borderId="0" xfId="0" applyNumberFormat="1" applyFont="1" applyFill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 wrapText="1"/>
    </xf>
    <xf numFmtId="2" fontId="2" fillId="4" borderId="0" xfId="0" applyNumberFormat="1" applyFont="1" applyFill="1" applyAlignment="1">
      <alignment horizontal="center" vertical="center" wrapText="1"/>
    </xf>
    <xf numFmtId="9" fontId="2" fillId="0" borderId="0" xfId="53" applyFont="1" applyAlignment="1">
      <alignment/>
    </xf>
    <xf numFmtId="0" fontId="8" fillId="11" borderId="0" xfId="46" applyFont="1" applyFill="1" applyBorder="1" applyAlignment="1" applyProtection="1">
      <alignment horizontal="center"/>
      <protection/>
    </xf>
    <xf numFmtId="0" fontId="8" fillId="11" borderId="0" xfId="46" applyFont="1" applyFill="1" applyAlignment="1" applyProtection="1">
      <alignment horizontal="center"/>
      <protection/>
    </xf>
    <xf numFmtId="49" fontId="8" fillId="11" borderId="0" xfId="46" applyNumberFormat="1" applyFont="1" applyFill="1" applyAlignment="1" applyProtection="1">
      <alignment horizontal="center"/>
      <protection/>
    </xf>
    <xf numFmtId="0" fontId="4" fillId="0" borderId="0" xfId="0" applyFont="1" applyBorder="1" applyAlignment="1">
      <alignment horizontal="left"/>
    </xf>
    <xf numFmtId="0" fontId="10" fillId="0" borderId="0" xfId="46" applyFont="1" applyBorder="1" applyAlignment="1" applyProtection="1">
      <alignment horizontal="left"/>
      <protection/>
    </xf>
    <xf numFmtId="0" fontId="2" fillId="0" borderId="3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4" fillId="0" borderId="16" xfId="0" applyNumberFormat="1" applyFont="1" applyFill="1" applyBorder="1" applyAlignment="1">
      <alignment horizontal="right"/>
    </xf>
    <xf numFmtId="4" fontId="2" fillId="0" borderId="38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30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4" fontId="2" fillId="0" borderId="30" xfId="0" applyNumberFormat="1" applyFont="1" applyFill="1" applyBorder="1" applyAlignment="1">
      <alignment/>
    </xf>
    <xf numFmtId="10" fontId="4" fillId="0" borderId="0" xfId="0" applyNumberFormat="1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4" fontId="2" fillId="4" borderId="21" xfId="0" applyNumberFormat="1" applyFont="1" applyFill="1" applyBorder="1" applyAlignment="1">
      <alignment/>
    </xf>
    <xf numFmtId="4" fontId="2" fillId="4" borderId="18" xfId="0" applyNumberFormat="1" applyFont="1" applyFill="1" applyBorder="1" applyAlignment="1">
      <alignment/>
    </xf>
    <xf numFmtId="10" fontId="4" fillId="0" borderId="0" xfId="0" applyNumberFormat="1" applyFont="1" applyAlignment="1">
      <alignment horizontal="center"/>
    </xf>
    <xf numFmtId="14" fontId="2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0" fontId="4" fillId="0" borderId="17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4" fillId="0" borderId="17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10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65" fontId="0" fillId="0" borderId="0" xfId="48" applyNumberFormat="1" applyFont="1" applyAlignment="1">
      <alignment/>
    </xf>
    <xf numFmtId="10" fontId="0" fillId="0" borderId="0" xfId="53" applyNumberFormat="1" applyFont="1" applyAlignment="1">
      <alignment/>
    </xf>
    <xf numFmtId="3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18" fillId="0" borderId="0" xfId="0" applyFont="1" applyAlignment="1">
      <alignment/>
    </xf>
    <xf numFmtId="6" fontId="0" fillId="0" borderId="0" xfId="0" applyNumberFormat="1" applyAlignment="1">
      <alignment/>
    </xf>
    <xf numFmtId="10" fontId="2" fillId="4" borderId="0" xfId="0" applyNumberFormat="1" applyFont="1" applyFill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4" fillId="0" borderId="42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15" fillId="0" borderId="30" xfId="0" applyFont="1" applyBorder="1" applyAlignment="1">
      <alignment horizontal="right"/>
    </xf>
    <xf numFmtId="4" fontId="5" fillId="4" borderId="0" xfId="0" applyNumberFormat="1" applyFont="1" applyFill="1" applyBorder="1" applyAlignment="1">
      <alignment/>
    </xf>
    <xf numFmtId="4" fontId="9" fillId="4" borderId="0" xfId="0" applyNumberFormat="1" applyFont="1" applyFill="1" applyBorder="1" applyAlignment="1">
      <alignment horizontal="right"/>
    </xf>
    <xf numFmtId="4" fontId="5" fillId="4" borderId="0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4" fontId="2" fillId="4" borderId="0" xfId="0" applyNumberFormat="1" applyFont="1" applyFill="1" applyBorder="1" applyAlignment="1">
      <alignment wrapText="1"/>
    </xf>
    <xf numFmtId="4" fontId="4" fillId="4" borderId="0" xfId="0" applyNumberFormat="1" applyFont="1" applyFill="1" applyAlignment="1">
      <alignment wrapText="1"/>
    </xf>
    <xf numFmtId="4" fontId="4" fillId="4" borderId="0" xfId="0" applyNumberFormat="1" applyFont="1" applyFill="1" applyAlignment="1">
      <alignment/>
    </xf>
    <xf numFmtId="4" fontId="4" fillId="0" borderId="44" xfId="0" applyNumberFormat="1" applyFont="1" applyBorder="1" applyAlignment="1">
      <alignment/>
    </xf>
    <xf numFmtId="4" fontId="2" fillId="0" borderId="44" xfId="0" applyNumberFormat="1" applyFont="1" applyBorder="1" applyAlignment="1">
      <alignment/>
    </xf>
    <xf numFmtId="4" fontId="2" fillId="0" borderId="44" xfId="0" applyNumberFormat="1" applyFont="1" applyFill="1" applyBorder="1" applyAlignment="1">
      <alignment/>
    </xf>
    <xf numFmtId="0" fontId="4" fillId="0" borderId="44" xfId="0" applyFont="1" applyBorder="1" applyAlignment="1">
      <alignment horizontal="left"/>
    </xf>
    <xf numFmtId="0" fontId="2" fillId="0" borderId="44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44" xfId="0" applyFont="1" applyBorder="1" applyAlignment="1">
      <alignment/>
    </xf>
    <xf numFmtId="4" fontId="5" fillId="0" borderId="44" xfId="0" applyNumberFormat="1" applyFont="1" applyBorder="1" applyAlignment="1">
      <alignment/>
    </xf>
    <xf numFmtId="0" fontId="5" fillId="4" borderId="0" xfId="0" applyFont="1" applyFill="1" applyAlignment="1">
      <alignment horizontal="right"/>
    </xf>
    <xf numFmtId="0" fontId="4" fillId="0" borderId="10" xfId="0" applyFont="1" applyBorder="1" applyAlignment="1">
      <alignment/>
    </xf>
    <xf numFmtId="4" fontId="4" fillId="0" borderId="16" xfId="0" applyNumberFormat="1" applyFont="1" applyBorder="1" applyAlignment="1">
      <alignment/>
    </xf>
    <xf numFmtId="166" fontId="4" fillId="0" borderId="45" xfId="44" applyNumberFormat="1" applyFont="1" applyFill="1" applyBorder="1" applyAlignment="1">
      <alignment/>
    </xf>
    <xf numFmtId="10" fontId="2" fillId="0" borderId="46" xfId="0" applyNumberFormat="1" applyFont="1" applyFill="1" applyBorder="1" applyAlignment="1">
      <alignment horizontal="center"/>
    </xf>
    <xf numFmtId="166" fontId="4" fillId="0" borderId="47" xfId="44" applyNumberFormat="1" applyFont="1" applyFill="1" applyBorder="1" applyAlignment="1">
      <alignment/>
    </xf>
    <xf numFmtId="10" fontId="2" fillId="0" borderId="48" xfId="0" applyNumberFormat="1" applyFont="1" applyFill="1" applyBorder="1" applyAlignment="1">
      <alignment horizontal="center"/>
    </xf>
    <xf numFmtId="10" fontId="2" fillId="0" borderId="49" xfId="0" applyNumberFormat="1" applyFont="1" applyFill="1" applyBorder="1" applyAlignment="1">
      <alignment horizontal="center"/>
    </xf>
    <xf numFmtId="0" fontId="5" fillId="4" borderId="46" xfId="0" applyFont="1" applyFill="1" applyBorder="1" applyAlignment="1">
      <alignment/>
    </xf>
    <xf numFmtId="4" fontId="4" fillId="4" borderId="43" xfId="0" applyNumberFormat="1" applyFont="1" applyFill="1" applyBorder="1" applyAlignment="1">
      <alignment/>
    </xf>
    <xf numFmtId="0" fontId="2" fillId="0" borderId="49" xfId="0" applyFont="1" applyBorder="1" applyAlignment="1">
      <alignment horizontal="center" wrapText="1"/>
    </xf>
    <xf numFmtId="4" fontId="5" fillId="4" borderId="47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4" fontId="5" fillId="4" borderId="46" xfId="0" applyNumberFormat="1" applyFont="1" applyFill="1" applyBorder="1" applyAlignment="1">
      <alignment/>
    </xf>
    <xf numFmtId="4" fontId="2" fillId="0" borderId="49" xfId="0" applyNumberFormat="1" applyFont="1" applyBorder="1" applyAlignment="1">
      <alignment horizontal="center" wrapText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4" fillId="0" borderId="50" xfId="0" applyNumberFormat="1" applyFont="1" applyBorder="1" applyAlignment="1">
      <alignment/>
    </xf>
    <xf numFmtId="0" fontId="0" fillId="0" borderId="51" xfId="0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52" xfId="0" applyNumberFormat="1" applyFont="1" applyBorder="1" applyAlignment="1">
      <alignment/>
    </xf>
    <xf numFmtId="4" fontId="2" fillId="4" borderId="53" xfId="0" applyNumberFormat="1" applyFont="1" applyFill="1" applyBorder="1" applyAlignment="1">
      <alignment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4" fontId="4" fillId="4" borderId="54" xfId="0" applyNumberFormat="1" applyFont="1" applyFill="1" applyBorder="1" applyAlignment="1">
      <alignment/>
    </xf>
    <xf numFmtId="4" fontId="4" fillId="4" borderId="49" xfId="0" applyNumberFormat="1" applyFont="1" applyFill="1" applyBorder="1" applyAlignment="1">
      <alignment/>
    </xf>
    <xf numFmtId="0" fontId="4" fillId="0" borderId="55" xfId="0" applyFont="1" applyBorder="1" applyAlignment="1">
      <alignment horizontal="center" wrapText="1"/>
    </xf>
    <xf numFmtId="4" fontId="4" fillId="0" borderId="48" xfId="0" applyNumberFormat="1" applyFont="1" applyBorder="1" applyAlignment="1">
      <alignment horizontal="center" wrapText="1"/>
    </xf>
    <xf numFmtId="4" fontId="2" fillId="0" borderId="48" xfId="0" applyNumberFormat="1" applyFont="1" applyBorder="1" applyAlignment="1">
      <alignment/>
    </xf>
    <xf numFmtId="4" fontId="4" fillId="0" borderId="48" xfId="0" applyNumberFormat="1" applyFont="1" applyBorder="1" applyAlignment="1">
      <alignment horizontal="right"/>
    </xf>
    <xf numFmtId="0" fontId="2" fillId="0" borderId="48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10" fontId="2" fillId="4" borderId="0" xfId="0" applyNumberFormat="1" applyFont="1" applyFill="1" applyBorder="1" applyAlignment="1">
      <alignment horizontal="center"/>
    </xf>
    <xf numFmtId="10" fontId="2" fillId="4" borderId="0" xfId="0" applyNumberFormat="1" applyFont="1" applyFill="1" applyAlignment="1">
      <alignment horizontal="center"/>
    </xf>
    <xf numFmtId="4" fontId="2" fillId="4" borderId="0" xfId="0" applyNumberFormat="1" applyFont="1" applyFill="1" applyAlignment="1">
      <alignment/>
    </xf>
    <xf numFmtId="4" fontId="4" fillId="0" borderId="16" xfId="53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16" xfId="44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4" fillId="24" borderId="32" xfId="44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 horizontal="center"/>
    </xf>
    <xf numFmtId="10" fontId="4" fillId="0" borderId="34" xfId="0" applyNumberFormat="1" applyFont="1" applyFill="1" applyBorder="1" applyAlignment="1">
      <alignment horizontal="center"/>
    </xf>
    <xf numFmtId="0" fontId="2" fillId="20" borderId="0" xfId="0" applyFont="1" applyFill="1" applyBorder="1" applyAlignment="1">
      <alignment horizontal="right"/>
    </xf>
    <xf numFmtId="4" fontId="4" fillId="20" borderId="56" xfId="44" applyNumberFormat="1" applyFont="1" applyFill="1" applyBorder="1" applyAlignment="1">
      <alignment/>
    </xf>
    <xf numFmtId="4" fontId="4" fillId="0" borderId="56" xfId="44" applyNumberFormat="1" applyFont="1" applyFill="1" applyBorder="1" applyAlignment="1">
      <alignment/>
    </xf>
    <xf numFmtId="49" fontId="2" fillId="4" borderId="47" xfId="46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4" fontId="4" fillId="0" borderId="57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44" xfId="0" applyBorder="1" applyAlignment="1">
      <alignment horizontal="center"/>
    </xf>
    <xf numFmtId="0" fontId="16" fillId="0" borderId="0" xfId="0" applyFont="1" applyAlignment="1">
      <alignment horizontal="right"/>
    </xf>
    <xf numFmtId="3" fontId="18" fillId="4" borderId="16" xfId="0" applyNumberFormat="1" applyFont="1" applyFill="1" applyBorder="1" applyAlignment="1">
      <alignment/>
    </xf>
    <xf numFmtId="166" fontId="2" fillId="0" borderId="54" xfId="44" applyNumberFormat="1" applyFont="1" applyFill="1" applyBorder="1" applyAlignment="1">
      <alignment/>
    </xf>
    <xf numFmtId="4" fontId="4" fillId="0" borderId="36" xfId="44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right"/>
    </xf>
    <xf numFmtId="0" fontId="0" fillId="0" borderId="48" xfId="0" applyFill="1" applyBorder="1" applyAlignment="1">
      <alignment horizontal="center"/>
    </xf>
    <xf numFmtId="4" fontId="2" fillId="0" borderId="58" xfId="0" applyNumberFormat="1" applyFont="1" applyBorder="1" applyAlignment="1">
      <alignment/>
    </xf>
    <xf numFmtId="4" fontId="4" fillId="0" borderId="58" xfId="0" applyNumberFormat="1" applyFont="1" applyBorder="1" applyAlignment="1">
      <alignment/>
    </xf>
    <xf numFmtId="0" fontId="8" fillId="0" borderId="0" xfId="46" applyFont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59" xfId="0" applyFont="1" applyBorder="1" applyAlignment="1">
      <alignment wrapText="1"/>
    </xf>
    <xf numFmtId="4" fontId="2" fillId="0" borderId="0" xfId="53" applyNumberFormat="1" applyFont="1" applyFill="1" applyBorder="1" applyAlignment="1">
      <alignment/>
    </xf>
    <xf numFmtId="0" fontId="36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readingOrder="1"/>
    </xf>
    <xf numFmtId="10" fontId="4" fillId="0" borderId="48" xfId="0" applyNumberFormat="1" applyFont="1" applyFill="1" applyBorder="1" applyAlignment="1">
      <alignment horizontal="center"/>
    </xf>
    <xf numFmtId="0" fontId="2" fillId="0" borderId="60" xfId="0" applyFont="1" applyBorder="1" applyAlignment="1">
      <alignment wrapText="1"/>
    </xf>
    <xf numFmtId="0" fontId="2" fillId="0" borderId="61" xfId="0" applyFont="1" applyBorder="1" applyAlignment="1">
      <alignment wrapText="1"/>
    </xf>
    <xf numFmtId="4" fontId="2" fillId="0" borderId="6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" fontId="2" fillId="0" borderId="63" xfId="0" applyNumberFormat="1" applyFont="1" applyBorder="1" applyAlignment="1">
      <alignment/>
    </xf>
    <xf numFmtId="4" fontId="2" fillId="0" borderId="64" xfId="0" applyNumberFormat="1" applyFont="1" applyBorder="1" applyAlignment="1">
      <alignment/>
    </xf>
    <xf numFmtId="0" fontId="2" fillId="0" borderId="65" xfId="0" applyFont="1" applyBorder="1" applyAlignment="1">
      <alignment wrapText="1"/>
    </xf>
    <xf numFmtId="1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66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5" fillId="4" borderId="0" xfId="0" applyNumberFormat="1" applyFont="1" applyFill="1" applyBorder="1" applyAlignment="1">
      <alignment horizontal="right"/>
    </xf>
    <xf numFmtId="0" fontId="4" fillId="0" borderId="11" xfId="0" applyFont="1" applyBorder="1" applyAlignment="1">
      <alignment wrapText="1"/>
    </xf>
    <xf numFmtId="0" fontId="2" fillId="0" borderId="67" xfId="0" applyFont="1" applyBorder="1" applyAlignment="1">
      <alignment wrapText="1"/>
    </xf>
    <xf numFmtId="4" fontId="2" fillId="0" borderId="68" xfId="0" applyNumberFormat="1" applyFont="1" applyBorder="1" applyAlignment="1">
      <alignment/>
    </xf>
    <xf numFmtId="0" fontId="8" fillId="0" borderId="66" xfId="46" applyFont="1" applyBorder="1" applyAlignment="1" applyProtection="1">
      <alignment/>
      <protection/>
    </xf>
    <xf numFmtId="0" fontId="4" fillId="0" borderId="65" xfId="0" applyFont="1" applyBorder="1" applyAlignment="1">
      <alignment wrapText="1"/>
    </xf>
    <xf numFmtId="0" fontId="2" fillId="0" borderId="69" xfId="0" applyFont="1" applyFill="1" applyBorder="1" applyAlignment="1">
      <alignment wrapText="1"/>
    </xf>
    <xf numFmtId="0" fontId="2" fillId="0" borderId="70" xfId="0" applyFont="1" applyFill="1" applyBorder="1" applyAlignment="1">
      <alignment wrapText="1"/>
    </xf>
    <xf numFmtId="4" fontId="4" fillId="0" borderId="71" xfId="0" applyNumberFormat="1" applyFont="1" applyFill="1" applyBorder="1" applyAlignment="1">
      <alignment/>
    </xf>
    <xf numFmtId="4" fontId="2" fillId="0" borderId="72" xfId="0" applyNumberFormat="1" applyFont="1" applyBorder="1" applyAlignment="1">
      <alignment/>
    </xf>
    <xf numFmtId="4" fontId="4" fillId="0" borderId="71" xfId="0" applyNumberFormat="1" applyFont="1" applyBorder="1" applyAlignment="1">
      <alignment/>
    </xf>
    <xf numFmtId="4" fontId="2" fillId="0" borderId="73" xfId="0" applyNumberFormat="1" applyFont="1" applyBorder="1" applyAlignment="1">
      <alignment/>
    </xf>
    <xf numFmtId="4" fontId="2" fillId="0" borderId="74" xfId="0" applyNumberFormat="1" applyFont="1" applyBorder="1" applyAlignment="1">
      <alignment/>
    </xf>
    <xf numFmtId="4" fontId="2" fillId="0" borderId="75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76" xfId="0" applyNumberFormat="1" applyFont="1" applyBorder="1" applyAlignment="1">
      <alignment/>
    </xf>
    <xf numFmtId="4" fontId="2" fillId="0" borderId="77" xfId="0" applyNumberFormat="1" applyFont="1" applyBorder="1" applyAlignment="1">
      <alignment/>
    </xf>
    <xf numFmtId="4" fontId="4" fillId="0" borderId="78" xfId="0" applyNumberFormat="1" applyFont="1" applyBorder="1" applyAlignment="1">
      <alignment/>
    </xf>
    <xf numFmtId="0" fontId="4" fillId="0" borderId="59" xfId="0" applyFont="1" applyBorder="1" applyAlignment="1">
      <alignment wrapText="1"/>
    </xf>
    <xf numFmtId="4" fontId="2" fillId="0" borderId="16" xfId="0" applyNumberFormat="1" applyFont="1" applyBorder="1" applyAlignment="1">
      <alignment/>
    </xf>
    <xf numFmtId="0" fontId="2" fillId="0" borderId="79" xfId="0" applyFont="1" applyBorder="1" applyAlignment="1">
      <alignment wrapText="1"/>
    </xf>
    <xf numFmtId="4" fontId="4" fillId="4" borderId="19" xfId="0" applyNumberFormat="1" applyFont="1" applyFill="1" applyBorder="1" applyAlignment="1">
      <alignment horizontal="right"/>
    </xf>
    <xf numFmtId="4" fontId="4" fillId="0" borderId="16" xfId="44" applyNumberFormat="1" applyFont="1" applyFill="1" applyBorder="1" applyAlignment="1">
      <alignment/>
    </xf>
    <xf numFmtId="4" fontId="2" fillId="4" borderId="0" xfId="0" applyNumberFormat="1" applyFont="1" applyFill="1" applyAlignment="1">
      <alignment horizontal="center"/>
    </xf>
    <xf numFmtId="0" fontId="8" fillId="0" borderId="0" xfId="46" applyFont="1" applyBorder="1" applyAlignment="1" applyProtection="1">
      <alignment horizontal="center"/>
      <protection/>
    </xf>
    <xf numFmtId="0" fontId="10" fillId="0" borderId="0" xfId="46" applyFont="1" applyBorder="1" applyAlignment="1" applyProtection="1">
      <alignment horizontal="center"/>
      <protection/>
    </xf>
    <xf numFmtId="0" fontId="8" fillId="0" borderId="0" xfId="46" applyFont="1" applyAlignment="1" applyProtection="1">
      <alignment horizontal="center"/>
      <protection/>
    </xf>
    <xf numFmtId="0" fontId="13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4" fillId="0" borderId="44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2" fillId="4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2" fillId="4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80" xfId="0" applyFont="1" applyBorder="1" applyAlignment="1">
      <alignment/>
    </xf>
    <xf numFmtId="0" fontId="0" fillId="0" borderId="81" xfId="0" applyBorder="1" applyAlignment="1">
      <alignment/>
    </xf>
    <xf numFmtId="49" fontId="2" fillId="0" borderId="0" xfId="0" applyNumberFormat="1" applyFont="1" applyBorder="1" applyAlignment="1">
      <alignment readingOrder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4" fontId="4" fillId="0" borderId="35" xfId="0" applyNumberFormat="1" applyFont="1" applyFill="1" applyBorder="1" applyAlignment="1">
      <alignment horizontal="center"/>
    </xf>
    <xf numFmtId="0" fontId="8" fillId="25" borderId="66" xfId="46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4" fillId="0" borderId="71" xfId="0" applyFont="1" applyBorder="1" applyAlignment="1">
      <alignment horizontal="center"/>
    </xf>
    <xf numFmtId="0" fontId="2" fillId="0" borderId="71" xfId="0" applyFont="1" applyBorder="1" applyAlignment="1">
      <alignment/>
    </xf>
    <xf numFmtId="0" fontId="2" fillId="0" borderId="66" xfId="0" applyFont="1" applyFill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" fillId="0" borderId="47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2" fillId="0" borderId="53" xfId="0" applyFont="1" applyFill="1" applyBorder="1" applyAlignment="1">
      <alignment wrapText="1"/>
    </xf>
    <xf numFmtId="0" fontId="4" fillId="0" borderId="55" xfId="0" applyFont="1" applyBorder="1" applyAlignment="1">
      <alignment horizontal="center"/>
    </xf>
    <xf numFmtId="0" fontId="2" fillId="0" borderId="55" xfId="0" applyFont="1" applyFill="1" applyBorder="1" applyAlignment="1">
      <alignment wrapText="1"/>
    </xf>
    <xf numFmtId="4" fontId="2" fillId="4" borderId="44" xfId="0" applyNumberFormat="1" applyFont="1" applyFill="1" applyBorder="1" applyAlignment="1">
      <alignment/>
    </xf>
    <xf numFmtId="4" fontId="2" fillId="4" borderId="49" xfId="0" applyNumberFormat="1" applyFont="1" applyFill="1" applyBorder="1" applyAlignment="1">
      <alignment/>
    </xf>
    <xf numFmtId="4" fontId="4" fillId="4" borderId="16" xfId="0" applyNumberFormat="1" applyFont="1" applyFill="1" applyBorder="1" applyAlignment="1">
      <alignment/>
    </xf>
    <xf numFmtId="4" fontId="4" fillId="25" borderId="0" xfId="0" applyNumberFormat="1" applyFont="1" applyFill="1" applyAlignment="1">
      <alignment/>
    </xf>
    <xf numFmtId="4" fontId="4" fillId="25" borderId="71" xfId="0" applyNumberFormat="1" applyFont="1" applyFill="1" applyBorder="1" applyAlignment="1">
      <alignment/>
    </xf>
    <xf numFmtId="4" fontId="4" fillId="25" borderId="0" xfId="0" applyNumberFormat="1" applyFont="1" applyFill="1" applyBorder="1" applyAlignment="1">
      <alignment/>
    </xf>
    <xf numFmtId="168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right"/>
    </xf>
    <xf numFmtId="0" fontId="2" fillId="24" borderId="0" xfId="0" applyFont="1" applyFill="1" applyAlignment="1">
      <alignment horizontal="right"/>
    </xf>
    <xf numFmtId="0" fontId="2" fillId="25" borderId="0" xfId="0" applyFont="1" applyFill="1" applyAlignment="1">
      <alignment horizontal="right"/>
    </xf>
    <xf numFmtId="4" fontId="4" fillId="0" borderId="84" xfId="0" applyNumberFormat="1" applyFont="1" applyBorder="1" applyAlignment="1">
      <alignment/>
    </xf>
    <xf numFmtId="4" fontId="2" fillId="0" borderId="55" xfId="0" applyNumberFormat="1" applyFont="1" applyBorder="1" applyAlignment="1">
      <alignment/>
    </xf>
    <xf numFmtId="4" fontId="2" fillId="0" borderId="43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2" fillId="0" borderId="55" xfId="0" applyNumberFormat="1" applyFont="1" applyBorder="1" applyAlignment="1">
      <alignment/>
    </xf>
    <xf numFmtId="4" fontId="2" fillId="0" borderId="43" xfId="0" applyNumberFormat="1" applyFont="1" applyBorder="1" applyAlignment="1">
      <alignment/>
    </xf>
    <xf numFmtId="0" fontId="2" fillId="24" borderId="0" xfId="53" applyNumberFormat="1" applyFont="1" applyFill="1" applyBorder="1" applyAlignment="1">
      <alignment/>
    </xf>
    <xf numFmtId="0" fontId="2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10" fontId="15" fillId="4" borderId="0" xfId="53" applyNumberFormat="1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0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10" fontId="6" fillId="4" borderId="0" xfId="53" applyNumberFormat="1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4" fontId="2" fillId="0" borderId="8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" fontId="4" fillId="0" borderId="85" xfId="0" applyNumberFormat="1" applyFont="1" applyBorder="1" applyAlignment="1">
      <alignment/>
    </xf>
    <xf numFmtId="4" fontId="4" fillId="0" borderId="62" xfId="0" applyNumberFormat="1" applyFont="1" applyBorder="1" applyAlignment="1">
      <alignment/>
    </xf>
    <xf numFmtId="4" fontId="4" fillId="4" borderId="21" xfId="0" applyNumberFormat="1" applyFont="1" applyFill="1" applyBorder="1" applyAlignment="1">
      <alignment/>
    </xf>
    <xf numFmtId="10" fontId="2" fillId="0" borderId="57" xfId="0" applyNumberFormat="1" applyFont="1" applyBorder="1" applyAlignment="1">
      <alignment/>
    </xf>
    <xf numFmtId="0" fontId="2" fillId="0" borderId="86" xfId="0" applyFont="1" applyBorder="1" applyAlignment="1">
      <alignment wrapText="1"/>
    </xf>
    <xf numFmtId="0" fontId="13" fillId="4" borderId="0" xfId="0" applyFont="1" applyFill="1" applyAlignment="1">
      <alignment/>
    </xf>
    <xf numFmtId="0" fontId="3" fillId="24" borderId="0" xfId="0" applyFont="1" applyFill="1" applyBorder="1" applyAlignment="1">
      <alignment horizontal="right"/>
    </xf>
    <xf numFmtId="0" fontId="4" fillId="0" borderId="67" xfId="0" applyFont="1" applyBorder="1" applyAlignment="1">
      <alignment horizontal="left"/>
    </xf>
    <xf numFmtId="0" fontId="0" fillId="0" borderId="67" xfId="0" applyBorder="1" applyAlignment="1">
      <alignment horizontal="center"/>
    </xf>
    <xf numFmtId="0" fontId="4" fillId="0" borderId="67" xfId="0" applyFont="1" applyBorder="1" applyAlignment="1">
      <alignment horizontal="right"/>
    </xf>
    <xf numFmtId="0" fontId="2" fillId="0" borderId="67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15" fillId="0" borderId="57" xfId="0" applyFont="1" applyBorder="1" applyAlignment="1">
      <alignment horizontal="right"/>
    </xf>
    <xf numFmtId="0" fontId="4" fillId="0" borderId="67" xfId="0" applyFont="1" applyBorder="1" applyAlignment="1">
      <alignment horizontal="center"/>
    </xf>
    <xf numFmtId="0" fontId="4" fillId="0" borderId="87" xfId="0" applyFont="1" applyBorder="1" applyAlignment="1">
      <alignment horizontal="right"/>
    </xf>
    <xf numFmtId="0" fontId="0" fillId="0" borderId="67" xfId="0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67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81" xfId="0" applyFont="1" applyBorder="1" applyAlignment="1">
      <alignment/>
    </xf>
    <xf numFmtId="0" fontId="2" fillId="0" borderId="81" xfId="0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81" xfId="0" applyBorder="1" applyAlignment="1">
      <alignment/>
    </xf>
    <xf numFmtId="0" fontId="4" fillId="0" borderId="53" xfId="0" applyFont="1" applyBorder="1" applyAlignment="1">
      <alignment/>
    </xf>
    <xf numFmtId="0" fontId="4" fillId="0" borderId="22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10" fontId="2" fillId="0" borderId="21" xfId="44" applyNumberFormat="1" applyFont="1" applyFill="1" applyBorder="1" applyAlignment="1">
      <alignment/>
    </xf>
    <xf numFmtId="49" fontId="8" fillId="0" borderId="21" xfId="46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49" fontId="2" fillId="0" borderId="21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 horizontal="right"/>
    </xf>
    <xf numFmtId="49" fontId="6" fillId="0" borderId="21" xfId="53" applyNumberFormat="1" applyFont="1" applyFill="1" applyBorder="1" applyAlignment="1">
      <alignment/>
    </xf>
    <xf numFmtId="49" fontId="5" fillId="0" borderId="21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0" fontId="2" fillId="0" borderId="88" xfId="0" applyFont="1" applyBorder="1" applyAlignment="1">
      <alignment horizontal="center"/>
    </xf>
    <xf numFmtId="0" fontId="4" fillId="0" borderId="82" xfId="0" applyFont="1" applyBorder="1" applyAlignment="1">
      <alignment horizontal="center" wrapText="1"/>
    </xf>
    <xf numFmtId="0" fontId="2" fillId="0" borderId="44" xfId="0" applyNumberFormat="1" applyFont="1" applyBorder="1" applyAlignment="1">
      <alignment/>
    </xf>
    <xf numFmtId="0" fontId="2" fillId="0" borderId="86" xfId="0" applyNumberFormat="1" applyFont="1" applyBorder="1" applyAlignment="1">
      <alignment/>
    </xf>
    <xf numFmtId="0" fontId="2" fillId="0" borderId="89" xfId="0" applyNumberFormat="1" applyFont="1" applyBorder="1" applyAlignment="1">
      <alignment/>
    </xf>
    <xf numFmtId="0" fontId="4" fillId="0" borderId="54" xfId="0" applyFont="1" applyBorder="1" applyAlignment="1">
      <alignment horizontal="center"/>
    </xf>
    <xf numFmtId="4" fontId="2" fillId="0" borderId="84" xfId="0" applyNumberFormat="1" applyFont="1" applyBorder="1" applyAlignment="1">
      <alignment/>
    </xf>
    <xf numFmtId="4" fontId="4" fillId="0" borderId="55" xfId="0" applyNumberFormat="1" applyFont="1" applyBorder="1" applyAlignment="1">
      <alignment/>
    </xf>
    <xf numFmtId="4" fontId="2" fillId="0" borderId="50" xfId="0" applyNumberFormat="1" applyFont="1" applyBorder="1" applyAlignment="1">
      <alignment/>
    </xf>
    <xf numFmtId="4" fontId="2" fillId="0" borderId="84" xfId="0" applyNumberFormat="1" applyFont="1" applyBorder="1" applyAlignment="1">
      <alignment/>
    </xf>
    <xf numFmtId="168" fontId="4" fillId="0" borderId="0" xfId="0" applyNumberFormat="1" applyFont="1" applyAlignment="1">
      <alignment horizontal="center"/>
    </xf>
    <xf numFmtId="4" fontId="4" fillId="0" borderId="50" xfId="0" applyNumberFormat="1" applyFont="1" applyBorder="1" applyAlignment="1">
      <alignment/>
    </xf>
    <xf numFmtId="4" fontId="2" fillId="0" borderId="90" xfId="0" applyNumberFormat="1" applyFont="1" applyBorder="1" applyAlignment="1">
      <alignment/>
    </xf>
    <xf numFmtId="4" fontId="4" fillId="0" borderId="91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/>
    </xf>
    <xf numFmtId="4" fontId="4" fillId="0" borderId="54" xfId="0" applyNumberFormat="1" applyFont="1" applyBorder="1" applyAlignment="1">
      <alignment horizontal="center" wrapText="1"/>
    </xf>
    <xf numFmtId="4" fontId="4" fillId="25" borderId="80" xfId="0" applyNumberFormat="1" applyFont="1" applyFill="1" applyBorder="1" applyAlignment="1">
      <alignment/>
    </xf>
    <xf numFmtId="4" fontId="4" fillId="0" borderId="44" xfId="0" applyNumberFormat="1" applyFont="1" applyBorder="1" applyAlignment="1">
      <alignment horizontal="center" wrapText="1"/>
    </xf>
    <xf numFmtId="166" fontId="2" fillId="25" borderId="0" xfId="44" applyNumberFormat="1" applyFont="1" applyFill="1" applyBorder="1" applyAlignment="1">
      <alignment/>
    </xf>
    <xf numFmtId="10" fontId="2" fillId="25" borderId="0" xfId="0" applyNumberFormat="1" applyFont="1" applyFill="1" applyBorder="1" applyAlignment="1">
      <alignment horizontal="left"/>
    </xf>
    <xf numFmtId="0" fontId="0" fillId="25" borderId="0" xfId="0" applyFill="1" applyAlignment="1">
      <alignment/>
    </xf>
    <xf numFmtId="10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4" borderId="0" xfId="0" applyFont="1" applyFill="1" applyBorder="1" applyAlignment="1">
      <alignment/>
    </xf>
    <xf numFmtId="2" fontId="2" fillId="4" borderId="47" xfId="46" applyNumberFormat="1" applyFont="1" applyFill="1" applyBorder="1" applyAlignment="1" applyProtection="1">
      <alignment/>
      <protection/>
    </xf>
    <xf numFmtId="0" fontId="0" fillId="0" borderId="48" xfId="0" applyBorder="1" applyAlignment="1">
      <alignment/>
    </xf>
    <xf numFmtId="10" fontId="4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44" xfId="0" applyFont="1" applyBorder="1" applyAlignment="1">
      <alignment/>
    </xf>
    <xf numFmtId="0" fontId="0" fillId="0" borderId="44" xfId="0" applyBorder="1" applyAlignment="1">
      <alignment/>
    </xf>
    <xf numFmtId="0" fontId="3" fillId="0" borderId="5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9" xfId="0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3" fillId="0" borderId="12" xfId="0" applyNumberFormat="1" applyFont="1" applyBorder="1" applyAlignment="1">
      <alignment horizontal="center" wrapText="1"/>
    </xf>
    <xf numFmtId="0" fontId="0" fillId="4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2" fillId="24" borderId="0" xfId="0" applyFont="1" applyFill="1" applyBorder="1" applyAlignment="1">
      <alignment/>
    </xf>
    <xf numFmtId="49" fontId="13" fillId="0" borderId="0" xfId="0" applyNumberFormat="1" applyFont="1" applyBorder="1" applyAlignment="1">
      <alignment shrinkToFit="1"/>
    </xf>
    <xf numFmtId="0" fontId="0" fillId="0" borderId="0" xfId="0" applyBorder="1" applyAlignment="1">
      <alignment horizontal="center" wrapText="1"/>
    </xf>
    <xf numFmtId="0" fontId="4" fillId="0" borderId="45" xfId="0" applyFont="1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46" xfId="0" applyBorder="1" applyAlignment="1">
      <alignment horizontal="left"/>
    </xf>
    <xf numFmtId="4" fontId="2" fillId="0" borderId="57" xfId="0" applyNumberFormat="1" applyFont="1" applyBorder="1" applyAlignment="1">
      <alignment horizontal="right"/>
    </xf>
    <xf numFmtId="4" fontId="2" fillId="0" borderId="92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4" fontId="2" fillId="0" borderId="80" xfId="0" applyNumberFormat="1" applyFont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2" fillId="0" borderId="94" xfId="0" applyFont="1" applyBorder="1" applyAlignment="1">
      <alignment horizontal="right"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4" fontId="2" fillId="0" borderId="71" xfId="0" applyNumberFormat="1" applyFont="1" applyFill="1" applyBorder="1" applyAlignment="1">
      <alignment horizontal="right"/>
    </xf>
    <xf numFmtId="0" fontId="0" fillId="0" borderId="71" xfId="0" applyBorder="1" applyAlignment="1">
      <alignment/>
    </xf>
    <xf numFmtId="4" fontId="2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3" fillId="0" borderId="71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4" fillId="0" borderId="71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0" fontId="2" fillId="0" borderId="47" xfId="0" applyFont="1" applyBorder="1" applyAlignment="1">
      <alignment/>
    </xf>
    <xf numFmtId="10" fontId="2" fillId="24" borderId="0" xfId="53" applyNumberFormat="1" applyFont="1" applyFill="1" applyBorder="1" applyAlignment="1">
      <alignment/>
    </xf>
    <xf numFmtId="4" fontId="2" fillId="25" borderId="0" xfId="53" applyNumberFormat="1" applyFont="1" applyFill="1" applyBorder="1" applyAlignment="1">
      <alignment/>
    </xf>
    <xf numFmtId="4" fontId="5" fillId="0" borderId="15" xfId="44" applyNumberFormat="1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xUriServ/LexUriServ.do?uri=OJ:L:2012:007:0003:0010:FR:PDF" TargetMode="External" /><Relationship Id="rId2" Type="http://schemas.openxmlformats.org/officeDocument/2006/relationships/hyperlink" Target="http://eur-lex.europa.eu/LexUriServ/LexUriServ.do?uri=OJ:C:2012:326:0047:0390:FR:HTML" TargetMode="External" /><Relationship Id="rId3" Type="http://schemas.openxmlformats.org/officeDocument/2006/relationships/hyperlink" Target="http://www.legifrance.gouv.fr/affichCode.do?cidTexte=LEGITEXT000006074096" TargetMode="External" /><Relationship Id="rId4" Type="http://schemas.openxmlformats.org/officeDocument/2006/relationships/hyperlink" Target="http://www.legifrance.gouv.fr/affichCode.do;jsessionid=872A9FEFE1E1081F1322A81E25487843.tpdjo12v_1?idSectionTA=LEGISCTA000021393713&amp;cidTexte=LEGITEXT000006074096&amp;dateTexte=20130504#LEGIARTI000021393710" TargetMode="External" /><Relationship Id="rId5" Type="http://schemas.openxmlformats.org/officeDocument/2006/relationships/hyperlink" Target="http://www.legifrance.gouv.fr/affichCode.do;jsessionid=872A9FEFE1E1081F1322A81E25487843.tpdjo12v_1?idSectionTA=LEGISCTA000006177812&amp;cidTexte=LEGITEXT000006074096&amp;dateTexte=20130504#LEGIARTI000006899037" TargetMode="External" /><Relationship Id="rId6" Type="http://schemas.openxmlformats.org/officeDocument/2006/relationships/hyperlink" Target="http://www.legifrance.gouv.fr/affichCode.do?idArticle=LEGIARTI000006825180&amp;idSectionTA=LEGISCTA000006159063&amp;cidTexte=LEGITEXT000006074096&amp;dateTexte=20130504#LEGIARTI000006825180" TargetMode="External" /><Relationship Id="rId7" Type="http://schemas.openxmlformats.org/officeDocument/2006/relationships/hyperlink" Target="http://www.union-habitat.eu/IMG/pdf/lola_note_tech_28_dec_2011.pdf" TargetMode="External" /><Relationship Id="rId8" Type="http://schemas.openxmlformats.org/officeDocument/2006/relationships/hyperlink" Target="http://www.union-habitat.eu/IMG/pdf/lola_note_tech_28_dec_2011.pdf" TargetMode="External" /><Relationship Id="rId9" Type="http://schemas.openxmlformats.org/officeDocument/2006/relationships/hyperlink" Target="http://www.union-habitat.eu/IMG/pdf/lola_note_tech_28_dec_2011.pdf" TargetMode="External" /><Relationship Id="rId10" Type="http://schemas.openxmlformats.org/officeDocument/2006/relationships/hyperlink" Target="http://www.union-habitat.eu/IMG/pdf/lola_note_tech_28_dec_2011.pdf" TargetMode="External" /><Relationship Id="rId11" Type="http://schemas.openxmlformats.org/officeDocument/2006/relationships/hyperlink" Target="http://www.union-habitat.eu/IMG/pdf/lola_note_tech_28_dec_2011.pdf" TargetMode="External" /><Relationship Id="rId12" Type="http://schemas.openxmlformats.org/officeDocument/2006/relationships/hyperlink" Target="http://www.union-habitat.eu/IMG/pdf/lola_note_tech_28_dec_2011.pdf" TargetMode="External" /><Relationship Id="rId13" Type="http://schemas.openxmlformats.org/officeDocument/2006/relationships/hyperlink" Target="http://www.union-habitat.eu/IMG/pdf/lola_note_tech_28_dec_2011.pdf" TargetMode="External" /><Relationship Id="rId14" Type="http://schemas.openxmlformats.org/officeDocument/2006/relationships/hyperlink" Target="http://www.union-habitat.eu/IMG/pdf/lola_note_tech_28_dec_2011.pdf" TargetMode="External" /><Relationship Id="rId15" Type="http://schemas.openxmlformats.org/officeDocument/2006/relationships/hyperlink" Target="http://www.union-habitat.eu/IMG/pdf/final_28_novembre_2005.pdf" TargetMode="External" /><Relationship Id="rId16" Type="http://schemas.openxmlformats.org/officeDocument/2006/relationships/hyperlink" Target="http://union-habitat.eu/?rubrique230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xUriServ/LexUriServ.do?uri=OJ:L:2012:007:0003:0010:FR:PDF" TargetMode="External" /><Relationship Id="rId2" Type="http://schemas.openxmlformats.org/officeDocument/2006/relationships/hyperlink" Target="http://union-habitat.eu/?rubrique230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zoomScalePageLayoutView="0" workbookViewId="0" topLeftCell="A1">
      <selection activeCell="A2" sqref="A2:K2"/>
    </sheetView>
  </sheetViews>
  <sheetFormatPr defaultColWidth="11.421875" defaultRowHeight="12.75"/>
  <cols>
    <col min="1" max="1" width="16.57421875" style="0" customWidth="1"/>
    <col min="2" max="2" width="12.7109375" style="0" customWidth="1"/>
    <col min="3" max="3" width="13.8515625" style="0" customWidth="1"/>
    <col min="4" max="4" width="13.8515625" style="0" bestFit="1" customWidth="1"/>
    <col min="5" max="5" width="13.00390625" style="0" customWidth="1"/>
    <col min="6" max="6" width="12.7109375" style="0" customWidth="1"/>
    <col min="7" max="7" width="12.421875" style="0" bestFit="1" customWidth="1"/>
    <col min="8" max="8" width="12.421875" style="0" customWidth="1"/>
    <col min="9" max="9" width="11.7109375" style="0" bestFit="1" customWidth="1"/>
    <col min="10" max="10" width="13.140625" style="0" bestFit="1" customWidth="1"/>
    <col min="11" max="11" width="13.00390625" style="0" bestFit="1" customWidth="1"/>
    <col min="12" max="12" width="11.7109375" style="0" bestFit="1" customWidth="1"/>
  </cols>
  <sheetData>
    <row r="1" spans="1:2" s="1" customFormat="1" ht="13.5" thickBot="1">
      <c r="A1" s="597" t="s">
        <v>431</v>
      </c>
      <c r="B1" s="598"/>
    </row>
    <row r="2" spans="1:11" ht="12.75">
      <c r="A2" s="604" t="s">
        <v>270</v>
      </c>
      <c r="B2" s="547"/>
      <c r="C2" s="547"/>
      <c r="D2" s="547"/>
      <c r="E2" s="547"/>
      <c r="F2" s="547"/>
      <c r="G2" s="547"/>
      <c r="H2" s="488"/>
      <c r="I2" s="488"/>
      <c r="J2" s="488"/>
      <c r="K2" s="489"/>
    </row>
    <row r="3" spans="1:11" ht="12.75">
      <c r="A3" s="367"/>
      <c r="B3" s="249"/>
      <c r="C3" s="249"/>
      <c r="D3" s="249"/>
      <c r="E3" s="258"/>
      <c r="F3" s="258"/>
      <c r="G3" s="258"/>
      <c r="H3" s="258"/>
      <c r="I3" s="258"/>
      <c r="J3" s="258"/>
      <c r="K3" s="368"/>
    </row>
    <row r="4" spans="1:11" s="5" customFormat="1" ht="12.75">
      <c r="A4" s="490" t="s">
        <v>360</v>
      </c>
      <c r="B4" s="470"/>
      <c r="C4" s="470"/>
      <c r="D4" s="470"/>
      <c r="E4" s="470"/>
      <c r="F4" s="470"/>
      <c r="G4" s="470"/>
      <c r="H4" s="470"/>
      <c r="I4" s="470"/>
      <c r="J4" s="470"/>
      <c r="K4" s="471"/>
    </row>
    <row r="5" spans="1:11" s="5" customFormat="1" ht="13.5" thickBot="1">
      <c r="A5" s="599" t="s">
        <v>128</v>
      </c>
      <c r="B5" s="600"/>
      <c r="C5" s="600"/>
      <c r="D5" s="600"/>
      <c r="E5" s="600"/>
      <c r="F5" s="600"/>
      <c r="G5" s="600"/>
      <c r="H5" s="600"/>
      <c r="I5" s="600"/>
      <c r="J5" s="600"/>
      <c r="K5" s="601"/>
    </row>
    <row r="6" spans="1:11" s="5" customFormat="1" ht="12.75">
      <c r="A6" s="420"/>
      <c r="B6" s="189"/>
      <c r="C6" s="189"/>
      <c r="D6" s="189"/>
      <c r="E6" s="189"/>
      <c r="F6" s="189" t="s">
        <v>22</v>
      </c>
      <c r="G6" s="189"/>
      <c r="H6" s="189"/>
      <c r="I6" s="189"/>
      <c r="J6" s="189"/>
      <c r="K6" s="189"/>
    </row>
    <row r="7" spans="1:11" s="5" customFormat="1" ht="12.75">
      <c r="A7" s="42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s="5" customFormat="1" ht="12.75">
      <c r="A8" s="436" t="s">
        <v>69</v>
      </c>
      <c r="B8" s="437" t="s">
        <v>1</v>
      </c>
      <c r="C8" s="437"/>
      <c r="D8" s="189"/>
      <c r="E8" s="189"/>
      <c r="F8" s="189"/>
      <c r="G8" s="219"/>
      <c r="H8" s="189"/>
      <c r="I8" s="189"/>
      <c r="J8" s="189"/>
      <c r="K8" s="189"/>
    </row>
    <row r="9" spans="1:11" s="5" customFormat="1" ht="12.75">
      <c r="A9" s="436" t="s">
        <v>251</v>
      </c>
      <c r="B9" s="437" t="s">
        <v>2</v>
      </c>
      <c r="C9" s="437"/>
      <c r="D9" s="189"/>
      <c r="E9" s="189"/>
      <c r="F9" s="189"/>
      <c r="G9" s="189"/>
      <c r="H9" s="189"/>
      <c r="I9" s="189"/>
      <c r="J9" s="189"/>
      <c r="K9" s="189"/>
    </row>
    <row r="10" spans="1:11" s="5" customFormat="1" ht="12.75">
      <c r="A10" s="436" t="s">
        <v>252</v>
      </c>
      <c r="B10" s="437" t="s">
        <v>83</v>
      </c>
      <c r="C10" s="437"/>
      <c r="D10" s="189"/>
      <c r="E10" s="189"/>
      <c r="F10" s="189"/>
      <c r="G10" s="189"/>
      <c r="H10" s="189"/>
      <c r="I10" s="189"/>
      <c r="J10" s="189"/>
      <c r="K10" s="189"/>
    </row>
    <row r="11" spans="1:3" s="5" customFormat="1" ht="12.75">
      <c r="A11" s="3"/>
      <c r="C11" s="5" t="s">
        <v>151</v>
      </c>
    </row>
    <row r="12" s="5" customFormat="1" ht="9.75">
      <c r="A12" s="5" t="s">
        <v>361</v>
      </c>
    </row>
    <row r="13" s="5" customFormat="1" ht="9.75"/>
    <row r="14" spans="1:4" s="5" customFormat="1" ht="12.75">
      <c r="A14" s="3"/>
      <c r="B14" s="5" t="s">
        <v>228</v>
      </c>
      <c r="C14" s="463" t="s">
        <v>368</v>
      </c>
      <c r="D14" s="5" t="s">
        <v>271</v>
      </c>
    </row>
    <row r="15" spans="3:4" s="276" customFormat="1" ht="9.75">
      <c r="C15" s="277"/>
      <c r="D15" s="115" t="s">
        <v>150</v>
      </c>
    </row>
    <row r="16" spans="3:4" s="4" customFormat="1" ht="9.75">
      <c r="C16" s="277"/>
      <c r="D16" s="4" t="s">
        <v>148</v>
      </c>
    </row>
    <row r="17" spans="3:4" s="4" customFormat="1" ht="9.75">
      <c r="C17" s="277"/>
      <c r="D17" s="4" t="s">
        <v>149</v>
      </c>
    </row>
    <row r="18" s="4" customFormat="1" ht="9.75">
      <c r="C18" s="277"/>
    </row>
    <row r="19" spans="1:4" s="5" customFormat="1" ht="12.75">
      <c r="A19" s="162"/>
      <c r="B19" s="5" t="s">
        <v>118</v>
      </c>
      <c r="C19" s="163" t="s">
        <v>205</v>
      </c>
      <c r="D19" s="5" t="s">
        <v>147</v>
      </c>
    </row>
    <row r="20" spans="1:4" s="5" customFormat="1" ht="12.75">
      <c r="A20" s="162"/>
      <c r="C20" s="163"/>
      <c r="D20" s="4" t="s">
        <v>369</v>
      </c>
    </row>
    <row r="21" spans="1:4" s="5" customFormat="1" ht="12.75">
      <c r="A21" s="162"/>
      <c r="C21" s="464" t="s">
        <v>146</v>
      </c>
      <c r="D21" s="5" t="s">
        <v>117</v>
      </c>
    </row>
    <row r="22" spans="1:3" s="5" customFormat="1" ht="12.75">
      <c r="A22" s="162"/>
      <c r="C22" s="163"/>
    </row>
    <row r="23" spans="1:3" s="5" customFormat="1" ht="12.75">
      <c r="A23" s="162"/>
      <c r="B23" s="5" t="s">
        <v>370</v>
      </c>
      <c r="C23" s="163"/>
    </row>
    <row r="24" spans="1:7" s="5" customFormat="1" ht="12.75">
      <c r="A24" s="162"/>
      <c r="C24" s="4" t="s">
        <v>121</v>
      </c>
      <c r="D24" s="4" t="s">
        <v>119</v>
      </c>
      <c r="E24" s="4"/>
      <c r="F24" s="4"/>
      <c r="G24" s="4"/>
    </row>
    <row r="25" spans="1:7" s="5" customFormat="1" ht="12.75">
      <c r="A25" s="162"/>
      <c r="B25" s="5" t="s">
        <v>151</v>
      </c>
      <c r="C25" s="4" t="s">
        <v>203</v>
      </c>
      <c r="D25" s="4" t="s">
        <v>120</v>
      </c>
      <c r="E25" s="4"/>
      <c r="F25" s="4"/>
      <c r="G25" s="4"/>
    </row>
    <row r="26" spans="1:7" s="5" customFormat="1" ht="12.75">
      <c r="A26" s="162" t="s">
        <v>151</v>
      </c>
      <c r="C26" s="4" t="s">
        <v>204</v>
      </c>
      <c r="D26" s="4" t="s">
        <v>279</v>
      </c>
      <c r="E26" s="4"/>
      <c r="F26" s="4"/>
      <c r="G26" s="4"/>
    </row>
    <row r="27" spans="1:7" s="5" customFormat="1" ht="12.75">
      <c r="A27" s="162"/>
      <c r="C27" s="4" t="s">
        <v>211</v>
      </c>
      <c r="D27" s="4" t="s">
        <v>212</v>
      </c>
      <c r="E27" s="4"/>
      <c r="F27" s="4"/>
      <c r="G27" s="4"/>
    </row>
    <row r="28" spans="1:7" s="5" customFormat="1" ht="12.75">
      <c r="A28" s="162"/>
      <c r="C28" s="4" t="s">
        <v>208</v>
      </c>
      <c r="D28" s="4" t="s">
        <v>215</v>
      </c>
      <c r="E28" s="4"/>
      <c r="F28" s="4"/>
      <c r="G28" s="4"/>
    </row>
    <row r="29" spans="1:7" s="5" customFormat="1" ht="12.75">
      <c r="A29" s="162"/>
      <c r="C29" s="4"/>
      <c r="D29" s="4"/>
      <c r="E29" s="4"/>
      <c r="F29" s="4"/>
      <c r="G29" s="4"/>
    </row>
    <row r="30" spans="1:7" s="5" customFormat="1" ht="12.75">
      <c r="A30" s="162"/>
      <c r="B30" s="5" t="s">
        <v>362</v>
      </c>
      <c r="C30" s="4"/>
      <c r="D30" s="4"/>
      <c r="E30" s="4"/>
      <c r="F30" s="4"/>
      <c r="G30" s="4"/>
    </row>
    <row r="31" spans="1:8" s="5" customFormat="1" ht="12.75">
      <c r="A31" s="162"/>
      <c r="B31" s="5" t="s">
        <v>151</v>
      </c>
      <c r="C31" s="247" t="s">
        <v>258</v>
      </c>
      <c r="D31" s="4" t="s">
        <v>364</v>
      </c>
      <c r="E31" s="4"/>
      <c r="F31" s="4"/>
      <c r="G31" s="4"/>
      <c r="H31" s="4"/>
    </row>
    <row r="32" spans="1:8" s="5" customFormat="1" ht="12.75">
      <c r="A32" s="162"/>
      <c r="C32" s="247" t="s">
        <v>263</v>
      </c>
      <c r="D32" s="4" t="s">
        <v>122</v>
      </c>
      <c r="E32" s="4"/>
      <c r="F32" s="4"/>
      <c r="G32" s="4"/>
      <c r="H32" s="4"/>
    </row>
    <row r="33" spans="1:8" s="5" customFormat="1" ht="12.75">
      <c r="A33" s="162"/>
      <c r="C33" s="247" t="s">
        <v>261</v>
      </c>
      <c r="D33" s="4" t="s">
        <v>136</v>
      </c>
      <c r="E33" s="4"/>
      <c r="F33" s="4"/>
      <c r="G33" s="4"/>
      <c r="H33" s="4"/>
    </row>
    <row r="34" spans="1:8" s="5" customFormat="1" ht="12.75">
      <c r="A34" s="162"/>
      <c r="C34" s="247" t="s">
        <v>262</v>
      </c>
      <c r="D34" s="4" t="s">
        <v>272</v>
      </c>
      <c r="E34" s="4"/>
      <c r="F34" s="4"/>
      <c r="G34" s="4"/>
      <c r="H34" s="4"/>
    </row>
    <row r="35" spans="1:6" s="5" customFormat="1" ht="12.75">
      <c r="A35" s="162"/>
      <c r="C35" s="413" t="s">
        <v>290</v>
      </c>
      <c r="D35" s="4" t="s">
        <v>145</v>
      </c>
      <c r="E35" s="4"/>
      <c r="F35" s="4"/>
    </row>
    <row r="36" spans="1:7" s="5" customFormat="1" ht="12.75">
      <c r="A36" s="3"/>
      <c r="C36" s="4"/>
      <c r="D36" s="4"/>
      <c r="E36" s="4"/>
      <c r="F36" s="4"/>
      <c r="G36" s="4"/>
    </row>
    <row r="37" spans="1:7" s="5" customFormat="1" ht="9.75">
      <c r="A37" s="5" t="s">
        <v>84</v>
      </c>
      <c r="C37" s="172"/>
      <c r="D37" s="172"/>
      <c r="E37" s="172"/>
      <c r="F37" s="172"/>
      <c r="G37" s="4"/>
    </row>
    <row r="38" spans="1:9" s="5" customFormat="1" ht="12.75">
      <c r="A38" s="3"/>
      <c r="B38" s="4" t="s">
        <v>123</v>
      </c>
      <c r="C38" s="4"/>
      <c r="D38" s="4"/>
      <c r="E38" s="4"/>
      <c r="F38" s="4"/>
      <c r="G38" s="4"/>
      <c r="H38" s="4"/>
      <c r="I38" s="4"/>
    </row>
    <row r="39" spans="1:9" s="5" customFormat="1" ht="12.75">
      <c r="A39" s="3"/>
      <c r="B39" s="4" t="s">
        <v>323</v>
      </c>
      <c r="C39" s="4"/>
      <c r="D39" s="4"/>
      <c r="E39" s="4"/>
      <c r="F39" s="4"/>
      <c r="G39" s="4"/>
      <c r="H39" s="4"/>
      <c r="I39" s="4"/>
    </row>
    <row r="40" spans="1:9" s="5" customFormat="1" ht="12.75">
      <c r="A40" s="3"/>
      <c r="B40" s="4"/>
      <c r="C40" s="4" t="s">
        <v>137</v>
      </c>
      <c r="D40" s="4"/>
      <c r="E40" s="4"/>
      <c r="F40" s="4"/>
      <c r="G40" s="4"/>
      <c r="H40" s="4"/>
      <c r="I40" s="4"/>
    </row>
    <row r="41" spans="1:9" s="5" customFormat="1" ht="12.75">
      <c r="A41" s="3"/>
      <c r="B41" s="4"/>
      <c r="C41" s="4" t="s">
        <v>372</v>
      </c>
      <c r="D41" s="4"/>
      <c r="E41" s="4"/>
      <c r="F41" s="4"/>
      <c r="G41" s="4"/>
      <c r="H41" s="4"/>
      <c r="I41" s="4"/>
    </row>
    <row r="42" spans="1:9" s="5" customFormat="1" ht="12.75">
      <c r="A42" s="3"/>
      <c r="B42" s="4"/>
      <c r="C42" s="4" t="s">
        <v>111</v>
      </c>
      <c r="D42" s="4"/>
      <c r="E42" s="4"/>
      <c r="F42" s="4"/>
      <c r="G42" s="4"/>
      <c r="H42" s="4"/>
      <c r="I42" s="4"/>
    </row>
    <row r="43" spans="1:9" s="5" customFormat="1" ht="12.75">
      <c r="A43" s="3"/>
      <c r="B43" s="4"/>
      <c r="C43" s="4" t="s">
        <v>124</v>
      </c>
      <c r="D43" s="4"/>
      <c r="E43" s="4"/>
      <c r="F43" s="4"/>
      <c r="G43" s="4"/>
      <c r="H43" s="4"/>
      <c r="I43" s="4"/>
    </row>
    <row r="44" spans="1:9" s="5" customFormat="1" ht="12.75">
      <c r="A44" s="3"/>
      <c r="B44" s="4"/>
      <c r="C44" s="4" t="s">
        <v>112</v>
      </c>
      <c r="D44" s="4"/>
      <c r="E44" s="4"/>
      <c r="F44" s="4"/>
      <c r="G44" s="4"/>
      <c r="H44" s="4"/>
      <c r="I44" s="4"/>
    </row>
    <row r="45" spans="1:9" s="5" customFormat="1" ht="12.75">
      <c r="A45" s="3"/>
      <c r="B45" s="4"/>
      <c r="C45" s="4" t="s">
        <v>373</v>
      </c>
      <c r="D45" s="4"/>
      <c r="E45" s="4"/>
      <c r="F45" s="4"/>
      <c r="G45" s="4"/>
      <c r="H45" s="4"/>
      <c r="I45" s="4"/>
    </row>
    <row r="46" spans="1:9" s="5" customFormat="1" ht="12.75">
      <c r="A46" s="3"/>
      <c r="B46" s="4" t="s">
        <v>297</v>
      </c>
      <c r="C46" s="4"/>
      <c r="D46" s="4"/>
      <c r="E46" s="4"/>
      <c r="F46" s="4"/>
      <c r="G46" s="4"/>
      <c r="H46" s="4"/>
      <c r="I46" s="4"/>
    </row>
    <row r="47" spans="1:9" s="5" customFormat="1" ht="12.75">
      <c r="A47" s="3"/>
      <c r="B47" s="4" t="s">
        <v>125</v>
      </c>
      <c r="C47" s="4"/>
      <c r="D47" s="4"/>
      <c r="E47" s="4"/>
      <c r="F47" s="4"/>
      <c r="G47" s="4"/>
      <c r="H47" s="4"/>
      <c r="I47" s="4"/>
    </row>
    <row r="48" spans="1:9" s="5" customFormat="1" ht="12.75">
      <c r="A48" s="3"/>
      <c r="B48" s="4"/>
      <c r="C48" s="4"/>
      <c r="D48" s="4"/>
      <c r="E48" s="4"/>
      <c r="F48" s="4"/>
      <c r="G48" s="4"/>
      <c r="H48" s="4"/>
      <c r="I48" s="4"/>
    </row>
    <row r="49" spans="1:6" s="4" customFormat="1" ht="9.75">
      <c r="A49" s="5" t="s">
        <v>426</v>
      </c>
      <c r="B49" s="172"/>
      <c r="C49" s="172"/>
      <c r="D49" s="172"/>
      <c r="E49" s="172"/>
      <c r="F49" s="172"/>
    </row>
    <row r="50" spans="1:11" s="3" customFormat="1" ht="12.75">
      <c r="A50" s="3" t="s">
        <v>151</v>
      </c>
      <c r="B50" s="365" t="s">
        <v>126</v>
      </c>
      <c r="C50" s="473" t="s">
        <v>353</v>
      </c>
      <c r="D50" s="585"/>
      <c r="E50" s="585"/>
      <c r="F50" s="585"/>
      <c r="G50" s="585"/>
      <c r="H50" s="585"/>
      <c r="I50" s="585"/>
      <c r="J50" s="585"/>
      <c r="K50" s="585"/>
    </row>
    <row r="51" spans="2:14" s="3" customFormat="1" ht="12.75">
      <c r="B51" s="366" t="s">
        <v>126</v>
      </c>
      <c r="C51" s="473" t="s">
        <v>333</v>
      </c>
      <c r="D51" s="585"/>
      <c r="E51" s="585"/>
      <c r="F51" s="585"/>
      <c r="G51" s="585"/>
      <c r="H51" s="585"/>
      <c r="I51" s="585"/>
      <c r="J51" s="585"/>
      <c r="K51" s="585"/>
      <c r="N51" s="25"/>
    </row>
    <row r="52" spans="2:6" s="3" customFormat="1" ht="12.75">
      <c r="B52" s="19"/>
      <c r="C52" s="4" t="s">
        <v>334</v>
      </c>
      <c r="E52" s="25"/>
      <c r="F52" s="4" t="s">
        <v>151</v>
      </c>
    </row>
    <row r="53" spans="2:11" s="3" customFormat="1" ht="12.75">
      <c r="B53" s="251" t="s">
        <v>162</v>
      </c>
      <c r="C53" s="476" t="s">
        <v>335</v>
      </c>
      <c r="D53" s="585"/>
      <c r="E53" s="585"/>
      <c r="F53" s="585"/>
      <c r="G53" s="585"/>
      <c r="H53" s="585"/>
      <c r="I53" s="585"/>
      <c r="J53" s="585"/>
      <c r="K53" s="585"/>
    </row>
    <row r="54" spans="2:11" s="3" customFormat="1" ht="12.75">
      <c r="B54" s="254" t="s">
        <v>273</v>
      </c>
      <c r="C54" s="28" t="s">
        <v>3</v>
      </c>
      <c r="D54" s="248"/>
      <c r="E54" s="248"/>
      <c r="F54" s="248"/>
      <c r="G54" s="248"/>
      <c r="H54" s="248"/>
      <c r="I54" s="248"/>
      <c r="J54" s="248"/>
      <c r="K54" s="248"/>
    </row>
    <row r="55" spans="2:11" s="4" customFormat="1" ht="9.75">
      <c r="B55" s="4" t="s">
        <v>251</v>
      </c>
      <c r="C55" s="28" t="s">
        <v>352</v>
      </c>
      <c r="D55" s="157"/>
      <c r="E55" s="157"/>
      <c r="F55" s="157"/>
      <c r="G55" s="157"/>
      <c r="H55" s="157"/>
      <c r="I55" s="157"/>
      <c r="J55" s="157"/>
      <c r="K55" s="157"/>
    </row>
    <row r="56" spans="2:11" s="4" customFormat="1" ht="9.75">
      <c r="B56" s="4" t="s">
        <v>252</v>
      </c>
      <c r="C56" s="28" t="s">
        <v>336</v>
      </c>
      <c r="D56" s="157"/>
      <c r="E56" s="157"/>
      <c r="F56" s="157"/>
      <c r="G56" s="157"/>
      <c r="H56" s="157"/>
      <c r="I56" s="157"/>
      <c r="J56" s="157"/>
      <c r="K56" s="157"/>
    </row>
    <row r="57" spans="3:11" s="4" customFormat="1" ht="9.75">
      <c r="C57" s="28"/>
      <c r="D57" s="157"/>
      <c r="E57" s="157"/>
      <c r="F57" s="157"/>
      <c r="G57" s="157"/>
      <c r="H57" s="157"/>
      <c r="I57" s="157"/>
      <c r="J57" s="157"/>
      <c r="K57" s="157"/>
    </row>
    <row r="58" spans="1:11" s="4" customFormat="1" ht="9.75">
      <c r="A58" s="5" t="s">
        <v>82</v>
      </c>
      <c r="B58" s="5"/>
      <c r="C58" s="421"/>
      <c r="D58" s="157"/>
      <c r="E58" s="157"/>
      <c r="F58" s="157"/>
      <c r="G58" s="157"/>
      <c r="H58" s="157"/>
      <c r="I58" s="157"/>
      <c r="J58" s="157"/>
      <c r="K58" s="157"/>
    </row>
    <row r="59" spans="2:11" s="4" customFormat="1" ht="9.75">
      <c r="B59" s="4" t="s">
        <v>363</v>
      </c>
      <c r="C59" s="28"/>
      <c r="D59" s="157"/>
      <c r="E59" s="157"/>
      <c r="F59" s="157"/>
      <c r="G59" s="157"/>
      <c r="H59" s="157"/>
      <c r="I59" s="157"/>
      <c r="J59" s="157"/>
      <c r="K59" s="157"/>
    </row>
    <row r="60" spans="2:11" s="4" customFormat="1" ht="9.75">
      <c r="B60" s="4" t="s">
        <v>21</v>
      </c>
      <c r="C60" s="28"/>
      <c r="D60" s="157"/>
      <c r="E60" s="157"/>
      <c r="F60" s="157"/>
      <c r="G60" s="157"/>
      <c r="H60" s="157"/>
      <c r="I60" s="157"/>
      <c r="J60" s="157"/>
      <c r="K60" s="157"/>
    </row>
    <row r="61" spans="3:11" s="4" customFormat="1" ht="9.75">
      <c r="C61" s="28"/>
      <c r="D61" s="157"/>
      <c r="E61" s="157"/>
      <c r="F61" s="157"/>
      <c r="G61" s="157"/>
      <c r="H61" s="157"/>
      <c r="I61" s="157"/>
      <c r="J61" s="157"/>
      <c r="K61" s="157"/>
    </row>
    <row r="62" spans="1:6" s="3" customFormat="1" ht="12.75">
      <c r="A62" s="532" t="s">
        <v>87</v>
      </c>
      <c r="B62" s="3" t="s">
        <v>86</v>
      </c>
      <c r="C62" s="28"/>
      <c r="D62" s="608" t="s">
        <v>42</v>
      </c>
      <c r="E62" s="585"/>
      <c r="F62" s="585"/>
    </row>
    <row r="63" spans="1:6" s="3" customFormat="1" ht="12.75">
      <c r="A63" s="532"/>
      <c r="B63" s="3" t="s">
        <v>427</v>
      </c>
      <c r="C63" s="28"/>
      <c r="D63" s="26"/>
      <c r="E63" s="27"/>
      <c r="F63" s="4"/>
    </row>
    <row r="64" spans="1:6" s="3" customFormat="1" ht="13.5" thickBot="1">
      <c r="A64" s="504"/>
      <c r="C64" s="28"/>
      <c r="D64" s="26"/>
      <c r="E64" s="27"/>
      <c r="F64" s="4"/>
    </row>
    <row r="65" spans="1:11" s="5" customFormat="1" ht="13.5" thickBot="1">
      <c r="A65" s="474" t="s">
        <v>25</v>
      </c>
      <c r="B65" s="475"/>
      <c r="C65" s="475"/>
      <c r="D65" s="545"/>
      <c r="E65" s="545"/>
      <c r="F65" s="546"/>
      <c r="G65" s="545"/>
      <c r="H65" s="548" t="s">
        <v>151</v>
      </c>
      <c r="I65" s="545"/>
      <c r="J65" s="545"/>
      <c r="K65" s="549"/>
    </row>
    <row r="66" spans="1:8" s="5" customFormat="1" ht="12.75">
      <c r="A66" s="544"/>
      <c r="B66" s="249"/>
      <c r="C66" s="249"/>
      <c r="F66" s="4"/>
      <c r="H66" s="258"/>
    </row>
    <row r="67" spans="1:6" s="5" customFormat="1" ht="9.75">
      <c r="A67" s="5" t="s">
        <v>127</v>
      </c>
      <c r="B67" s="465" t="s">
        <v>4</v>
      </c>
      <c r="F67" s="4"/>
    </row>
    <row r="68" spans="1:11" s="4" customFormat="1" ht="9.75">
      <c r="A68" s="4" t="s">
        <v>110</v>
      </c>
      <c r="C68" s="21" t="s">
        <v>337</v>
      </c>
      <c r="D68" s="21"/>
      <c r="E68" s="21"/>
      <c r="F68" s="21"/>
      <c r="G68" s="21"/>
      <c r="H68" s="21"/>
      <c r="I68" s="21"/>
      <c r="J68" s="21"/>
      <c r="K68" s="21"/>
    </row>
    <row r="69" spans="1:11" s="4" customFormat="1" ht="9.75">
      <c r="A69" s="4" t="s">
        <v>158</v>
      </c>
      <c r="C69" s="21" t="s">
        <v>351</v>
      </c>
      <c r="D69" s="21"/>
      <c r="E69" s="21"/>
      <c r="F69" s="21"/>
      <c r="G69" s="21"/>
      <c r="H69" s="21"/>
      <c r="I69" s="21"/>
      <c r="J69" s="21"/>
      <c r="K69" s="21"/>
    </row>
    <row r="70" spans="1:11" s="4" customFormat="1" ht="9.75">
      <c r="A70" s="4" t="s">
        <v>159</v>
      </c>
      <c r="C70" s="22" t="s">
        <v>338</v>
      </c>
      <c r="D70" s="21"/>
      <c r="E70" s="21"/>
      <c r="F70" s="21"/>
      <c r="G70" s="21"/>
      <c r="H70" s="21"/>
      <c r="I70" s="21"/>
      <c r="J70" s="21"/>
      <c r="K70" s="21"/>
    </row>
    <row r="71" spans="1:11" s="4" customFormat="1" ht="12.75">
      <c r="A71" s="4" t="s">
        <v>160</v>
      </c>
      <c r="C71" s="607" t="s">
        <v>325</v>
      </c>
      <c r="D71" s="585"/>
      <c r="E71" s="585"/>
      <c r="F71" s="585"/>
      <c r="G71" s="585"/>
      <c r="H71" s="585"/>
      <c r="I71" s="21"/>
      <c r="J71" s="21"/>
      <c r="K71" s="21"/>
    </row>
    <row r="72" spans="3:11" s="4" customFormat="1" ht="9.75"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2.75">
      <c r="A73" s="426" t="s">
        <v>339</v>
      </c>
      <c r="B73" s="427"/>
      <c r="C73" s="403"/>
      <c r="D73" s="59">
        <v>40777</v>
      </c>
      <c r="E73" s="472" t="s">
        <v>428</v>
      </c>
      <c r="F73" s="605"/>
      <c r="G73" s="605"/>
      <c r="H73" s="605"/>
      <c r="I73" s="605"/>
      <c r="J73" s="605"/>
      <c r="K73" s="605"/>
    </row>
    <row r="74" spans="1:11" ht="12.75">
      <c r="A74" s="13"/>
      <c r="B74" s="14"/>
      <c r="C74" s="10" t="s">
        <v>166</v>
      </c>
      <c r="D74" s="21">
        <v>352</v>
      </c>
      <c r="E74" s="36" t="s">
        <v>374</v>
      </c>
      <c r="F74" s="36"/>
      <c r="G74" s="104"/>
      <c r="H74" s="24" t="s">
        <v>151</v>
      </c>
      <c r="I74" s="37" t="s">
        <v>151</v>
      </c>
      <c r="J74" s="7"/>
      <c r="K74" s="12"/>
    </row>
    <row r="75" spans="1:11" ht="12.75">
      <c r="A75" s="13"/>
      <c r="B75" s="14"/>
      <c r="C75" s="10" t="s">
        <v>155</v>
      </c>
      <c r="D75" s="60">
        <v>44348</v>
      </c>
      <c r="E75" s="590" t="s">
        <v>400</v>
      </c>
      <c r="F75" s="585"/>
      <c r="G75" s="585"/>
      <c r="H75" s="585"/>
      <c r="I75" s="585"/>
      <c r="J75" s="7"/>
      <c r="K75" s="12"/>
    </row>
    <row r="76" spans="1:11" ht="12.75">
      <c r="A76" s="13"/>
      <c r="B76" s="14"/>
      <c r="C76" s="10" t="s">
        <v>155</v>
      </c>
      <c r="D76" s="60">
        <v>31014</v>
      </c>
      <c r="E76" s="36" t="s">
        <v>401</v>
      </c>
      <c r="F76" s="104"/>
      <c r="G76" s="104"/>
      <c r="H76" s="108"/>
      <c r="I76" s="109"/>
      <c r="J76" s="7"/>
      <c r="K76" s="12"/>
    </row>
    <row r="77" spans="1:11" ht="12.75">
      <c r="A77" s="13"/>
      <c r="B77" s="14"/>
      <c r="C77" s="10"/>
      <c r="D77" s="255"/>
      <c r="E77" s="20"/>
      <c r="F77" s="203"/>
      <c r="G77" s="203"/>
      <c r="H77" s="204"/>
      <c r="I77" s="205"/>
      <c r="J77" s="206"/>
      <c r="K77" s="207"/>
    </row>
    <row r="78" spans="1:11" ht="12.75">
      <c r="A78" s="533"/>
      <c r="B78" s="534"/>
      <c r="C78" s="535" t="s">
        <v>282</v>
      </c>
      <c r="D78" s="255"/>
      <c r="E78" s="387"/>
      <c r="F78" s="203"/>
      <c r="G78" s="203"/>
      <c r="H78" s="204"/>
      <c r="I78" s="205"/>
      <c r="J78" s="206"/>
      <c r="K78" s="207"/>
    </row>
    <row r="79" spans="1:11" ht="12.75">
      <c r="A79" s="152"/>
      <c r="B79" s="29"/>
      <c r="C79" s="32" t="s">
        <v>97</v>
      </c>
      <c r="D79" s="100">
        <v>6302642.68</v>
      </c>
      <c r="E79" s="36" t="s">
        <v>98</v>
      </c>
      <c r="F79" s="104"/>
      <c r="G79" s="104"/>
      <c r="H79" s="108" t="s">
        <v>151</v>
      </c>
      <c r="I79" s="109" t="s">
        <v>151</v>
      </c>
      <c r="J79" s="7" t="s">
        <v>151</v>
      </c>
      <c r="K79" s="12"/>
    </row>
    <row r="80" spans="1:11" ht="13.5" thickBot="1">
      <c r="A80" s="13"/>
      <c r="B80" s="14"/>
      <c r="C80" s="10" t="s">
        <v>167</v>
      </c>
      <c r="D80" s="61">
        <v>16537438.65</v>
      </c>
      <c r="E80" s="36" t="s">
        <v>52</v>
      </c>
      <c r="F80" s="104"/>
      <c r="G80" s="104"/>
      <c r="H80" s="108"/>
      <c r="I80" s="109"/>
      <c r="J80" s="7"/>
      <c r="K80" s="12"/>
    </row>
    <row r="81" spans="1:11" ht="13.5" thickBot="1">
      <c r="A81" s="13"/>
      <c r="B81" s="14"/>
      <c r="C81" s="10" t="s">
        <v>340</v>
      </c>
      <c r="D81" s="388">
        <f>D79/D80</f>
        <v>0.3811135940328945</v>
      </c>
      <c r="E81" s="36" t="s">
        <v>402</v>
      </c>
      <c r="F81" s="104"/>
      <c r="G81" s="104"/>
      <c r="H81" s="108"/>
      <c r="I81" s="109"/>
      <c r="J81" s="7"/>
      <c r="K81" s="12"/>
    </row>
    <row r="82" spans="1:11" ht="12.75">
      <c r="A82" s="13"/>
      <c r="B82" s="14"/>
      <c r="C82" s="10"/>
      <c r="D82" s="62"/>
      <c r="E82" s="20"/>
      <c r="F82" s="203"/>
      <c r="G82" s="203"/>
      <c r="H82" s="204"/>
      <c r="I82" s="205"/>
      <c r="J82" s="206"/>
      <c r="K82" s="207"/>
    </row>
    <row r="83" spans="1:11" ht="12.75">
      <c r="A83" s="536"/>
      <c r="B83" s="537"/>
      <c r="C83" s="31" t="s">
        <v>229</v>
      </c>
      <c r="D83" s="62"/>
      <c r="E83" s="387" t="s">
        <v>346</v>
      </c>
      <c r="F83" s="203"/>
      <c r="G83" s="203"/>
      <c r="H83" s="204"/>
      <c r="I83" s="205"/>
      <c r="J83" s="206"/>
      <c r="K83" s="207"/>
    </row>
    <row r="84" spans="1:11" ht="12.75">
      <c r="A84" s="13"/>
      <c r="B84" s="252"/>
      <c r="C84" s="538" t="s">
        <v>405</v>
      </c>
      <c r="D84" s="61">
        <v>33.42</v>
      </c>
      <c r="E84" s="590" t="s">
        <v>341</v>
      </c>
      <c r="F84" s="585"/>
      <c r="G84" s="585"/>
      <c r="H84" s="585"/>
      <c r="I84" s="585"/>
      <c r="J84" s="585"/>
      <c r="K84" s="259" t="s">
        <v>262</v>
      </c>
    </row>
    <row r="85" spans="1:11" ht="12.75">
      <c r="A85" s="13"/>
      <c r="B85" s="14"/>
      <c r="C85" s="253" t="s">
        <v>99</v>
      </c>
      <c r="D85" s="217">
        <f>D149</f>
        <v>0.017</v>
      </c>
      <c r="E85" s="472" t="s">
        <v>375</v>
      </c>
      <c r="F85" s="472"/>
      <c r="G85" s="472"/>
      <c r="H85" s="472"/>
      <c r="I85" s="472"/>
      <c r="J85" s="472"/>
      <c r="K85" s="273" t="s">
        <v>274</v>
      </c>
    </row>
    <row r="86" spans="1:11" ht="12.75">
      <c r="A86" s="13"/>
      <c r="B86" s="116"/>
      <c r="C86" s="32" t="s">
        <v>406</v>
      </c>
      <c r="D86" s="636">
        <v>0.101</v>
      </c>
      <c r="E86" s="469" t="s">
        <v>407</v>
      </c>
      <c r="F86" s="469"/>
      <c r="G86" s="469"/>
      <c r="H86" s="469"/>
      <c r="I86" s="469"/>
      <c r="J86" s="469"/>
      <c r="K86" s="273"/>
    </row>
    <row r="87" spans="1:11" ht="12.75">
      <c r="A87" s="13"/>
      <c r="B87" s="426" t="s">
        <v>173</v>
      </c>
      <c r="C87" s="606"/>
      <c r="D87" s="63">
        <v>30.26</v>
      </c>
      <c r="E87" s="36" t="s">
        <v>164</v>
      </c>
      <c r="F87" s="104"/>
      <c r="G87" s="104"/>
      <c r="H87" s="24"/>
      <c r="I87" s="37"/>
      <c r="J87" s="7"/>
      <c r="K87" s="260"/>
    </row>
    <row r="88" spans="1:11" ht="12.75">
      <c r="A88" s="13"/>
      <c r="B88" s="14"/>
      <c r="C88" s="10" t="s">
        <v>174</v>
      </c>
      <c r="D88" s="637">
        <f>(D87*D86)+D87</f>
        <v>33.31626</v>
      </c>
      <c r="E88" s="107" t="s">
        <v>163</v>
      </c>
      <c r="F88" s="256"/>
      <c r="G88" s="256"/>
      <c r="H88" s="24"/>
      <c r="I88" s="257"/>
      <c r="J88" s="101"/>
      <c r="K88" s="259" t="s">
        <v>275</v>
      </c>
    </row>
    <row r="89" spans="1:11" ht="12.75">
      <c r="A89" s="13"/>
      <c r="B89" s="14"/>
      <c r="C89" s="10" t="s">
        <v>161</v>
      </c>
      <c r="D89" s="65">
        <f>+D88-D87</f>
        <v>3.056259999999998</v>
      </c>
      <c r="E89" s="36" t="s">
        <v>164</v>
      </c>
      <c r="F89" s="104"/>
      <c r="G89" s="104"/>
      <c r="H89" s="24"/>
      <c r="I89" s="37"/>
      <c r="J89" s="7"/>
      <c r="K89" s="260"/>
    </row>
    <row r="90" spans="1:11" ht="12.75">
      <c r="A90" s="13"/>
      <c r="B90" s="14"/>
      <c r="C90" s="10" t="s">
        <v>429</v>
      </c>
      <c r="D90" s="65">
        <f>D89*D81</f>
        <v>1.1647822328989734</v>
      </c>
      <c r="E90" s="36" t="s">
        <v>403</v>
      </c>
      <c r="F90" s="104"/>
      <c r="G90" s="104"/>
      <c r="H90" s="24"/>
      <c r="I90" s="37"/>
      <c r="J90" s="268">
        <f>D81</f>
        <v>0.3811135940328945</v>
      </c>
      <c r="K90" s="260"/>
    </row>
    <row r="91" spans="1:11" ht="12.75">
      <c r="A91" s="13"/>
      <c r="B91" s="14"/>
      <c r="C91" s="10" t="s">
        <v>168</v>
      </c>
      <c r="D91" s="65">
        <f>D89*D75</f>
        <v>135539.0184799999</v>
      </c>
      <c r="E91" s="36" t="s">
        <v>193</v>
      </c>
      <c r="F91" s="104"/>
      <c r="G91" s="104"/>
      <c r="H91" s="24"/>
      <c r="I91" s="37"/>
      <c r="J91" s="7"/>
      <c r="K91" s="260"/>
    </row>
    <row r="92" spans="1:11" ht="12.75">
      <c r="A92" s="13"/>
      <c r="B92" s="14"/>
      <c r="C92" s="10" t="s">
        <v>169</v>
      </c>
      <c r="D92" s="65">
        <f>D90*D75</f>
        <v>51655.76246460367</v>
      </c>
      <c r="E92" s="36" t="s">
        <v>404</v>
      </c>
      <c r="F92" s="104"/>
      <c r="G92" s="104"/>
      <c r="H92" s="24"/>
      <c r="I92" s="37"/>
      <c r="J92" s="220">
        <f>D81</f>
        <v>0.3811135940328945</v>
      </c>
      <c r="K92" s="260"/>
    </row>
    <row r="93" spans="1:11" ht="12.75">
      <c r="A93" s="477" t="s">
        <v>100</v>
      </c>
      <c r="B93" s="478"/>
      <c r="C93" s="479"/>
      <c r="D93" s="64">
        <v>1.34</v>
      </c>
      <c r="E93" s="36" t="s">
        <v>165</v>
      </c>
      <c r="F93" s="104"/>
      <c r="G93" s="104"/>
      <c r="H93" s="24"/>
      <c r="I93" s="37"/>
      <c r="J93" s="7"/>
      <c r="K93" s="259" t="s">
        <v>275</v>
      </c>
    </row>
    <row r="94" spans="1:11" ht="12.75">
      <c r="A94" s="253"/>
      <c r="B94" s="405"/>
      <c r="C94" s="153" t="s">
        <v>154</v>
      </c>
      <c r="D94" s="513">
        <v>15</v>
      </c>
      <c r="E94" s="36" t="s">
        <v>53</v>
      </c>
      <c r="F94" s="104"/>
      <c r="G94" s="104"/>
      <c r="H94" s="24"/>
      <c r="I94" s="37"/>
      <c r="J94" s="7"/>
      <c r="K94" s="259"/>
    </row>
    <row r="95" spans="1:11" s="6" customFormat="1" ht="10.5" thickBot="1">
      <c r="A95" s="32"/>
      <c r="B95" s="32"/>
      <c r="C95" s="11" t="s">
        <v>326</v>
      </c>
      <c r="D95" s="65">
        <f>D93*D76</f>
        <v>41558.76</v>
      </c>
      <c r="E95" s="36" t="s">
        <v>327</v>
      </c>
      <c r="F95" s="36"/>
      <c r="G95" s="36"/>
      <c r="H95" s="24"/>
      <c r="I95" s="37"/>
      <c r="J95" s="7"/>
      <c r="K95" s="261"/>
    </row>
    <row r="96" spans="1:11" ht="13.5" thickBot="1">
      <c r="A96" s="539"/>
      <c r="B96" s="537"/>
      <c r="C96" s="540" t="s">
        <v>175</v>
      </c>
      <c r="D96" s="386">
        <f>D95+D92</f>
        <v>93214.52246460368</v>
      </c>
      <c r="E96" s="36" t="s">
        <v>328</v>
      </c>
      <c r="F96" s="104"/>
      <c r="G96" s="104"/>
      <c r="H96" s="24"/>
      <c r="I96" s="37"/>
      <c r="J96" s="7"/>
      <c r="K96" s="260"/>
    </row>
    <row r="97" spans="1:11" ht="12.75">
      <c r="A97" s="13"/>
      <c r="B97" s="252"/>
      <c r="C97" s="253" t="s">
        <v>101</v>
      </c>
      <c r="D97" s="217">
        <v>0.015</v>
      </c>
      <c r="E97" s="36" t="s">
        <v>376</v>
      </c>
      <c r="F97" s="104"/>
      <c r="G97" s="104"/>
      <c r="H97" s="24"/>
      <c r="I97" s="37"/>
      <c r="J97" s="7"/>
      <c r="K97" s="274" t="s">
        <v>274</v>
      </c>
    </row>
    <row r="98" spans="1:11" ht="12.75">
      <c r="A98" s="13"/>
      <c r="B98" s="14"/>
      <c r="C98" s="253" t="s">
        <v>102</v>
      </c>
      <c r="D98" s="217">
        <v>0.015</v>
      </c>
      <c r="E98" s="36" t="s">
        <v>377</v>
      </c>
      <c r="F98" s="104"/>
      <c r="G98" s="104"/>
      <c r="H98" s="24"/>
      <c r="I98" s="37"/>
      <c r="J98" s="7"/>
      <c r="K98" s="274" t="s">
        <v>274</v>
      </c>
    </row>
    <row r="99" spans="1:11" ht="13.5" thickBot="1">
      <c r="A99" s="13"/>
      <c r="B99" s="14"/>
      <c r="C99" s="253" t="s">
        <v>103</v>
      </c>
      <c r="D99" s="48">
        <f>(D96*D97)+(D96*D98)</f>
        <v>2796.43567393811</v>
      </c>
      <c r="E99" s="36" t="s">
        <v>280</v>
      </c>
      <c r="F99" s="104"/>
      <c r="G99" s="104"/>
      <c r="H99" s="24"/>
      <c r="I99" s="37"/>
      <c r="J99" s="7"/>
      <c r="K99" s="12"/>
    </row>
    <row r="100" spans="1:11" ht="13.5" thickBot="1">
      <c r="A100" s="539"/>
      <c r="B100" s="537"/>
      <c r="C100" s="540" t="s">
        <v>176</v>
      </c>
      <c r="D100" s="386">
        <f>D96-D99</f>
        <v>90418.08679066558</v>
      </c>
      <c r="E100" s="36" t="s">
        <v>177</v>
      </c>
      <c r="F100" s="104"/>
      <c r="G100" s="104"/>
      <c r="H100" s="24"/>
      <c r="I100" s="37"/>
      <c r="J100" s="7"/>
      <c r="K100" s="12"/>
    </row>
    <row r="101" spans="1:11" ht="12.75">
      <c r="A101" s="152"/>
      <c r="B101" s="29"/>
      <c r="C101" s="31"/>
      <c r="D101" s="48"/>
      <c r="E101" s="20"/>
      <c r="F101" s="203"/>
      <c r="G101" s="203"/>
      <c r="H101" s="389"/>
      <c r="I101" s="217"/>
      <c r="J101" s="206"/>
      <c r="K101" s="207"/>
    </row>
    <row r="102" spans="1:11" ht="12.75">
      <c r="A102" s="539"/>
      <c r="B102" s="537"/>
      <c r="C102" s="535" t="s">
        <v>329</v>
      </c>
      <c r="D102" s="48"/>
      <c r="E102" s="584" t="s">
        <v>23</v>
      </c>
      <c r="F102" s="585"/>
      <c r="G102" s="585"/>
      <c r="H102" s="585"/>
      <c r="I102" s="585"/>
      <c r="J102" s="585"/>
      <c r="K102" s="207"/>
    </row>
    <row r="103" spans="1:11" ht="12.75">
      <c r="A103" s="152"/>
      <c r="B103" s="29"/>
      <c r="C103" s="31"/>
      <c r="D103" s="48"/>
      <c r="E103" s="414" t="s">
        <v>17</v>
      </c>
      <c r="F103" s="248"/>
      <c r="G103" s="248"/>
      <c r="H103" s="248"/>
      <c r="I103" s="248"/>
      <c r="J103" s="248"/>
      <c r="K103" s="207"/>
    </row>
    <row r="104" spans="1:11" ht="12.75">
      <c r="A104" s="13"/>
      <c r="B104" s="14"/>
      <c r="C104" s="10" t="s">
        <v>343</v>
      </c>
      <c r="D104" s="66">
        <f>D79*0.25</f>
        <v>1575660.67</v>
      </c>
      <c r="E104" s="590" t="s">
        <v>350</v>
      </c>
      <c r="F104" s="585"/>
      <c r="G104" s="585"/>
      <c r="H104" s="585"/>
      <c r="I104" s="585"/>
      <c r="J104" s="585"/>
      <c r="K104" s="259" t="s">
        <v>281</v>
      </c>
    </row>
    <row r="105" spans="1:11" ht="12.75">
      <c r="A105" s="13"/>
      <c r="B105" s="14"/>
      <c r="C105" s="10"/>
      <c r="D105" s="417"/>
      <c r="E105" s="414" t="s">
        <v>64</v>
      </c>
      <c r="F105" s="418"/>
      <c r="G105" s="418"/>
      <c r="H105" s="418"/>
      <c r="I105" s="248"/>
      <c r="J105" s="248"/>
      <c r="K105" s="259"/>
    </row>
    <row r="106" spans="1:11" ht="12.75">
      <c r="A106" s="13"/>
      <c r="B106" s="14"/>
      <c r="C106" s="10"/>
      <c r="D106" s="417"/>
      <c r="E106" s="414"/>
      <c r="F106" s="418"/>
      <c r="G106" s="418"/>
      <c r="H106" s="418"/>
      <c r="I106" s="248"/>
      <c r="J106" s="248"/>
      <c r="K106" s="259"/>
    </row>
    <row r="107" spans="1:11" ht="12.75">
      <c r="A107" s="13"/>
      <c r="B107" s="214"/>
      <c r="C107" s="17" t="s">
        <v>342</v>
      </c>
      <c r="D107" s="67">
        <v>212856</v>
      </c>
      <c r="E107" s="215" t="s">
        <v>54</v>
      </c>
      <c r="F107" s="216"/>
      <c r="G107" s="216"/>
      <c r="H107" s="216"/>
      <c r="I107" s="216"/>
      <c r="J107" s="383" t="s">
        <v>151</v>
      </c>
      <c r="K107" s="262" t="s">
        <v>276</v>
      </c>
    </row>
    <row r="108" spans="1:11" ht="12.75">
      <c r="A108" s="13"/>
      <c r="B108" s="214"/>
      <c r="C108" s="17" t="s">
        <v>55</v>
      </c>
      <c r="D108" s="67">
        <f>D107*40%</f>
        <v>85142.40000000001</v>
      </c>
      <c r="E108" s="215" t="s">
        <v>378</v>
      </c>
      <c r="F108" s="216"/>
      <c r="G108" s="216"/>
      <c r="H108" s="216"/>
      <c r="I108" s="216"/>
      <c r="J108" s="383" t="s">
        <v>151</v>
      </c>
      <c r="K108" s="262" t="s">
        <v>277</v>
      </c>
    </row>
    <row r="109" spans="1:11" ht="12.75">
      <c r="A109" s="13"/>
      <c r="B109" s="14"/>
      <c r="C109" s="32" t="s">
        <v>264</v>
      </c>
      <c r="D109" s="67">
        <v>1200</v>
      </c>
      <c r="E109" s="107" t="s">
        <v>18</v>
      </c>
      <c r="F109" s="103"/>
      <c r="G109" s="103"/>
      <c r="H109" s="103"/>
      <c r="I109" s="103"/>
      <c r="J109" s="384" t="s">
        <v>151</v>
      </c>
      <c r="K109" s="259" t="s">
        <v>276</v>
      </c>
    </row>
    <row r="110" spans="1:11" ht="12.75">
      <c r="A110" s="13"/>
      <c r="B110" s="14"/>
      <c r="C110" s="32"/>
      <c r="D110" s="23"/>
      <c r="E110" s="414" t="s">
        <v>85</v>
      </c>
      <c r="F110" s="419"/>
      <c r="G110" s="419"/>
      <c r="H110" s="419"/>
      <c r="I110" s="419"/>
      <c r="J110" s="431"/>
      <c r="K110" s="432"/>
    </row>
    <row r="111" spans="1:11" ht="12.75">
      <c r="A111" s="13"/>
      <c r="B111" s="14"/>
      <c r="C111" s="10"/>
      <c r="D111" s="23"/>
      <c r="E111" s="41"/>
      <c r="F111" s="30"/>
      <c r="G111" s="30"/>
      <c r="H111" s="30"/>
      <c r="I111" s="30"/>
      <c r="J111" s="30"/>
      <c r="K111" s="30"/>
    </row>
    <row r="112" spans="1:11" s="2" customFormat="1" ht="12.75">
      <c r="A112" s="34" t="s">
        <v>296</v>
      </c>
      <c r="B112" s="29"/>
      <c r="C112" s="31"/>
      <c r="D112" s="33"/>
      <c r="E112" s="111" t="s">
        <v>152</v>
      </c>
      <c r="F112" s="433" t="s">
        <v>255</v>
      </c>
      <c r="G112" s="433"/>
      <c r="H112" s="434"/>
      <c r="I112" s="381"/>
      <c r="J112" t="s">
        <v>151</v>
      </c>
      <c r="K112" s="381"/>
    </row>
    <row r="113" spans="1:11" ht="12.75">
      <c r="A113" s="186" t="s">
        <v>226</v>
      </c>
      <c r="B113" s="187"/>
      <c r="C113" s="194" t="s">
        <v>183</v>
      </c>
      <c r="D113" s="195">
        <v>1531971.42</v>
      </c>
      <c r="E113" s="269">
        <f>D113/D129</f>
        <v>0.2430681061551152</v>
      </c>
      <c r="F113" s="101" t="s">
        <v>253</v>
      </c>
      <c r="G113" s="101"/>
      <c r="H113" s="103"/>
      <c r="I113" s="103"/>
      <c r="J113" s="103"/>
      <c r="K113" s="263" t="s">
        <v>277</v>
      </c>
    </row>
    <row r="114" spans="1:11" ht="12.75">
      <c r="A114" s="188"/>
      <c r="B114" s="189"/>
      <c r="C114" s="153" t="s">
        <v>184</v>
      </c>
      <c r="D114" s="196">
        <v>0</v>
      </c>
      <c r="E114" s="269">
        <f>D114/D129</f>
        <v>0</v>
      </c>
      <c r="F114" s="101" t="s">
        <v>253</v>
      </c>
      <c r="G114" s="101"/>
      <c r="H114" s="103"/>
      <c r="I114" s="103"/>
      <c r="J114" s="103"/>
      <c r="K114" s="263" t="s">
        <v>277</v>
      </c>
    </row>
    <row r="115" spans="1:11" ht="12.75">
      <c r="A115" s="188"/>
      <c r="B115" s="189"/>
      <c r="C115" s="153" t="s">
        <v>185</v>
      </c>
      <c r="D115" s="390">
        <v>1116266.1</v>
      </c>
      <c r="E115" s="391">
        <f>D115/D129</f>
        <v>0.17711080203582158</v>
      </c>
      <c r="F115" s="101"/>
      <c r="G115" s="101"/>
      <c r="H115" s="103"/>
      <c r="I115" s="103"/>
      <c r="J115" s="103"/>
      <c r="K115" s="263" t="s">
        <v>277</v>
      </c>
    </row>
    <row r="116" spans="1:11" ht="12.75">
      <c r="A116" s="188"/>
      <c r="B116" s="189"/>
      <c r="C116" s="153" t="s">
        <v>187</v>
      </c>
      <c r="D116" s="196">
        <v>0</v>
      </c>
      <c r="E116" s="269">
        <f>D116/D129</f>
        <v>0</v>
      </c>
      <c r="F116" s="101" t="s">
        <v>253</v>
      </c>
      <c r="G116" s="101"/>
      <c r="H116" s="103"/>
      <c r="I116" s="103"/>
      <c r="J116" s="103"/>
      <c r="K116" s="263" t="s">
        <v>277</v>
      </c>
    </row>
    <row r="117" spans="1:11" ht="12.75">
      <c r="A117" s="188"/>
      <c r="B117" s="189"/>
      <c r="C117" s="153" t="s">
        <v>186</v>
      </c>
      <c r="D117" s="196">
        <v>208044.1</v>
      </c>
      <c r="E117" s="269">
        <f>D117/D129</f>
        <v>0.03300902661992572</v>
      </c>
      <c r="F117" s="101" t="s">
        <v>253</v>
      </c>
      <c r="G117" s="101"/>
      <c r="H117" s="103"/>
      <c r="I117" s="103"/>
      <c r="J117" s="103"/>
      <c r="K117" s="263" t="s">
        <v>277</v>
      </c>
    </row>
    <row r="118" spans="1:11" ht="12.75">
      <c r="A118" s="188"/>
      <c r="B118" s="189"/>
      <c r="C118" s="153" t="s">
        <v>188</v>
      </c>
      <c r="D118" s="196">
        <v>351580.42</v>
      </c>
      <c r="E118" s="269">
        <f>D118/D129</f>
        <v>0.05578301640289085</v>
      </c>
      <c r="F118" s="101" t="s">
        <v>253</v>
      </c>
      <c r="G118" s="101"/>
      <c r="H118" s="103"/>
      <c r="I118" s="103"/>
      <c r="J118" s="103"/>
      <c r="K118" s="263" t="s">
        <v>277</v>
      </c>
    </row>
    <row r="119" spans="1:11" ht="12.75">
      <c r="A119" s="188"/>
      <c r="B119" s="189"/>
      <c r="C119" s="153" t="s">
        <v>189</v>
      </c>
      <c r="D119" s="196">
        <v>0</v>
      </c>
      <c r="E119" s="269">
        <f>D119/D129</f>
        <v>0</v>
      </c>
      <c r="F119" s="101" t="s">
        <v>253</v>
      </c>
      <c r="G119" s="101"/>
      <c r="H119" s="103"/>
      <c r="I119" s="103"/>
      <c r="J119" s="103"/>
      <c r="K119" s="263" t="s">
        <v>277</v>
      </c>
    </row>
    <row r="120" spans="1:11" ht="12.75">
      <c r="A120" s="188"/>
      <c r="B120" s="189"/>
      <c r="C120" s="153" t="s">
        <v>190</v>
      </c>
      <c r="D120" s="196">
        <v>0</v>
      </c>
      <c r="E120" s="269">
        <f>D120/D129</f>
        <v>0</v>
      </c>
      <c r="F120" s="101" t="s">
        <v>5</v>
      </c>
      <c r="G120" s="101"/>
      <c r="H120" s="103"/>
      <c r="I120" s="103"/>
      <c r="J120" s="103"/>
      <c r="K120" s="263" t="s">
        <v>277</v>
      </c>
    </row>
    <row r="121" spans="1:11" ht="12.75">
      <c r="A121" s="190"/>
      <c r="B121" s="191"/>
      <c r="C121" s="197" t="s">
        <v>191</v>
      </c>
      <c r="D121" s="198">
        <v>0</v>
      </c>
      <c r="E121" s="269">
        <f>D121/D129</f>
        <v>0</v>
      </c>
      <c r="F121" s="101" t="s">
        <v>214</v>
      </c>
      <c r="G121" s="101"/>
      <c r="H121" s="103"/>
      <c r="I121" s="103"/>
      <c r="J121" s="103"/>
      <c r="K121" s="263" t="s">
        <v>277</v>
      </c>
    </row>
    <row r="122" spans="1:11" ht="12.75">
      <c r="A122" s="13"/>
      <c r="B122" s="29"/>
      <c r="C122" s="31" t="s">
        <v>408</v>
      </c>
      <c r="D122" s="33">
        <f>SUM(D113:D121)</f>
        <v>3207862.04</v>
      </c>
      <c r="E122" s="269">
        <f>SUM(E113:E121)</f>
        <v>0.5089709512137534</v>
      </c>
      <c r="F122" s="101"/>
      <c r="G122" s="101"/>
      <c r="H122" s="103"/>
      <c r="I122" s="103"/>
      <c r="J122" s="103"/>
      <c r="K122" s="18"/>
    </row>
    <row r="123" spans="1:11" ht="12.75">
      <c r="A123" s="192" t="s">
        <v>283</v>
      </c>
      <c r="B123" s="193"/>
      <c r="C123" s="334" t="s">
        <v>104</v>
      </c>
      <c r="D123" s="200">
        <v>178342.72</v>
      </c>
      <c r="E123" s="269">
        <f>D123/D129</f>
        <v>0.028296498636346618</v>
      </c>
      <c r="F123" s="101" t="s">
        <v>318</v>
      </c>
      <c r="G123" s="101"/>
      <c r="H123" s="103"/>
      <c r="I123" s="103"/>
      <c r="J123" s="103"/>
      <c r="K123" s="263" t="s">
        <v>275</v>
      </c>
    </row>
    <row r="124" spans="1:11" ht="12.75">
      <c r="A124" s="34" t="s">
        <v>379</v>
      </c>
      <c r="B124" s="14"/>
      <c r="C124" s="10"/>
      <c r="D124" s="23"/>
      <c r="E124" s="185" t="s">
        <v>151</v>
      </c>
      <c r="F124" s="102" t="s">
        <v>192</v>
      </c>
      <c r="G124" s="102" t="s">
        <v>154</v>
      </c>
      <c r="H124" s="264" t="s">
        <v>289</v>
      </c>
      <c r="I124" s="18"/>
      <c r="J124" s="18"/>
      <c r="K124" s="18"/>
    </row>
    <row r="125" spans="1:11" ht="12.75">
      <c r="A125" s="186" t="s">
        <v>151</v>
      </c>
      <c r="B125" s="187"/>
      <c r="C125" s="194" t="s">
        <v>171</v>
      </c>
      <c r="D125" s="195">
        <v>2516641.21</v>
      </c>
      <c r="E125" s="269">
        <f>D125/D129</f>
        <v>0.3992993634219479</v>
      </c>
      <c r="F125" s="99">
        <v>0.031</v>
      </c>
      <c r="G125" s="97">
        <v>20</v>
      </c>
      <c r="H125" s="171" t="s">
        <v>232</v>
      </c>
      <c r="I125" s="171"/>
      <c r="J125" s="171"/>
      <c r="K125" s="263" t="s">
        <v>278</v>
      </c>
    </row>
    <row r="126" spans="1:11" ht="12.75">
      <c r="A126" s="188"/>
      <c r="B126" s="189"/>
      <c r="C126" s="153" t="s">
        <v>178</v>
      </c>
      <c r="D126" s="196">
        <v>276351.01</v>
      </c>
      <c r="E126" s="269">
        <f>D126/D129</f>
        <v>0.04384684711334452</v>
      </c>
      <c r="F126" s="99">
        <v>0.022</v>
      </c>
      <c r="G126" s="97">
        <v>15</v>
      </c>
      <c r="H126" s="171" t="s">
        <v>233</v>
      </c>
      <c r="I126" s="18"/>
      <c r="J126" s="18"/>
      <c r="K126" s="263" t="s">
        <v>278</v>
      </c>
    </row>
    <row r="127" spans="1:11" ht="12.75">
      <c r="A127" s="188"/>
      <c r="B127" s="189"/>
      <c r="C127" s="153" t="s">
        <v>179</v>
      </c>
      <c r="D127" s="196">
        <v>123445.7</v>
      </c>
      <c r="E127" s="269">
        <f>D127/D129</f>
        <v>0.0195863396146075</v>
      </c>
      <c r="F127" s="99">
        <v>0.04</v>
      </c>
      <c r="G127" s="97">
        <v>15</v>
      </c>
      <c r="H127" s="171" t="s">
        <v>234</v>
      </c>
      <c r="I127" s="18"/>
      <c r="J127" s="18"/>
      <c r="K127" s="263" t="s">
        <v>278</v>
      </c>
    </row>
    <row r="128" spans="1:11" ht="12.75">
      <c r="A128" s="188"/>
      <c r="B128" s="189"/>
      <c r="C128" s="153" t="s">
        <v>180</v>
      </c>
      <c r="D128" s="196">
        <v>0</v>
      </c>
      <c r="E128" s="269">
        <f>D128/D129</f>
        <v>0</v>
      </c>
      <c r="F128" s="99">
        <v>0.04</v>
      </c>
      <c r="G128" s="97">
        <v>10</v>
      </c>
      <c r="H128" s="171" t="s">
        <v>232</v>
      </c>
      <c r="I128" s="18"/>
      <c r="J128" s="18"/>
      <c r="K128" s="263" t="s">
        <v>278</v>
      </c>
    </row>
    <row r="129" spans="1:11" ht="12.75">
      <c r="A129" s="192" t="s">
        <v>153</v>
      </c>
      <c r="B129" s="193"/>
      <c r="C129" s="199" t="s">
        <v>227</v>
      </c>
      <c r="D129" s="201">
        <f>SUM(D122:D128)</f>
        <v>6302642.680000001</v>
      </c>
      <c r="E129" s="392">
        <f>SUM(E113:E128)-E122</f>
        <v>0.9999999999999999</v>
      </c>
      <c r="F129" s="531" t="s">
        <v>19</v>
      </c>
      <c r="G129" s="18"/>
      <c r="H129" s="18"/>
      <c r="I129" s="18"/>
      <c r="J129" s="18"/>
      <c r="K129" s="18"/>
    </row>
    <row r="130" spans="1:11" ht="12.75">
      <c r="A130" s="276"/>
      <c r="B130" s="189"/>
      <c r="C130" s="153" t="s">
        <v>347</v>
      </c>
      <c r="D130" s="33">
        <f>D79</f>
        <v>6302642.68</v>
      </c>
      <c r="E130" s="575">
        <f>D129-D130</f>
        <v>0</v>
      </c>
      <c r="F130" s="103"/>
      <c r="G130" s="18"/>
      <c r="H130" s="18"/>
      <c r="I130" s="18"/>
      <c r="J130" s="18"/>
      <c r="K130" s="18"/>
    </row>
    <row r="131" spans="1:11" ht="12.75">
      <c r="A131" s="13"/>
      <c r="B131" s="14"/>
      <c r="C131" s="10" t="s">
        <v>107</v>
      </c>
      <c r="D131" s="33">
        <f>SUM(D125:D128)</f>
        <v>2916437.92</v>
      </c>
      <c r="E131" s="269">
        <f>D131/D129</f>
        <v>0.46273255014989995</v>
      </c>
      <c r="F131" s="101" t="s">
        <v>213</v>
      </c>
      <c r="G131" s="101"/>
      <c r="H131" s="18"/>
      <c r="I131" s="18"/>
      <c r="J131" s="18"/>
      <c r="K131" s="18"/>
    </row>
    <row r="132" spans="1:11" ht="12.75">
      <c r="A132" s="13"/>
      <c r="B132" s="14"/>
      <c r="C132" s="10" t="s">
        <v>68</v>
      </c>
      <c r="D132" s="33">
        <f>'Calculs détaillés'!AH38</f>
        <v>877120.2430032771</v>
      </c>
      <c r="E132" s="269"/>
      <c r="F132" s="101" t="s">
        <v>317</v>
      </c>
      <c r="G132" s="101"/>
      <c r="H132" s="18"/>
      <c r="I132" s="18"/>
      <c r="J132" s="18"/>
      <c r="K132" s="18"/>
    </row>
    <row r="133" spans="1:11" ht="12.75">
      <c r="A133" s="13"/>
      <c r="B133" s="14"/>
      <c r="C133" s="10"/>
      <c r="D133" s="33"/>
      <c r="E133" s="185"/>
      <c r="F133" s="102"/>
      <c r="G133" s="102"/>
      <c r="H133" s="30"/>
      <c r="I133" s="30"/>
      <c r="J133" s="30"/>
      <c r="K133" s="30"/>
    </row>
    <row r="134" spans="1:11" ht="13.5" thickBot="1">
      <c r="A134" s="595" t="s">
        <v>20</v>
      </c>
      <c r="B134" s="596"/>
      <c r="C134" s="585"/>
      <c r="D134" s="585"/>
      <c r="E134" s="585"/>
      <c r="F134" s="585"/>
      <c r="G134" s="102"/>
      <c r="H134" s="30"/>
      <c r="I134" s="30"/>
      <c r="J134" s="30"/>
      <c r="K134" s="30"/>
    </row>
    <row r="135" spans="1:11" ht="12.75">
      <c r="A135" s="13"/>
      <c r="B135" s="14"/>
      <c r="C135" s="10" t="s">
        <v>319</v>
      </c>
      <c r="D135" s="353">
        <f>D131</f>
        <v>2916437.92</v>
      </c>
      <c r="E135" s="354">
        <f>D135/D129</f>
        <v>0.46273255014989995</v>
      </c>
      <c r="F135" s="101" t="s">
        <v>129</v>
      </c>
      <c r="G135" s="101"/>
      <c r="H135" s="18"/>
      <c r="I135" s="18"/>
      <c r="J135" s="18"/>
      <c r="K135" s="18"/>
    </row>
    <row r="136" spans="1:11" ht="12.75">
      <c r="A136" s="13"/>
      <c r="B136" s="14"/>
      <c r="C136" s="10" t="s">
        <v>320</v>
      </c>
      <c r="D136" s="355">
        <f>D123</f>
        <v>178342.72</v>
      </c>
      <c r="E136" s="356">
        <f>D136/D129</f>
        <v>0.028296498636346618</v>
      </c>
      <c r="F136" s="101" t="s">
        <v>344</v>
      </c>
      <c r="G136" s="101"/>
      <c r="H136" s="18"/>
      <c r="I136" s="18"/>
      <c r="J136" s="18"/>
      <c r="K136" s="18"/>
    </row>
    <row r="137" spans="1:11" ht="12.75">
      <c r="A137" s="13"/>
      <c r="B137" s="14"/>
      <c r="C137" s="10" t="s">
        <v>409</v>
      </c>
      <c r="D137" s="355">
        <f>D122</f>
        <v>3207862.04</v>
      </c>
      <c r="E137" s="356">
        <f>D137/D129</f>
        <v>0.5089709512137534</v>
      </c>
      <c r="F137" s="101" t="s">
        <v>348</v>
      </c>
      <c r="G137" s="101"/>
      <c r="H137" s="18"/>
      <c r="I137" s="18"/>
      <c r="J137" s="18"/>
      <c r="K137" s="18"/>
    </row>
    <row r="138" spans="1:11" ht="12.75">
      <c r="A138" s="13"/>
      <c r="B138" s="14"/>
      <c r="C138" s="31" t="s">
        <v>153</v>
      </c>
      <c r="D138" s="355">
        <f>SUM(D135:D137)</f>
        <v>6302642.68</v>
      </c>
      <c r="E138" s="422">
        <f>SUM(E135:E137)</f>
        <v>0.9999999999999999</v>
      </c>
      <c r="F138" s="101"/>
      <c r="G138" s="101"/>
      <c r="H138" s="18"/>
      <c r="I138" s="18"/>
      <c r="J138" s="18"/>
      <c r="K138" s="18"/>
    </row>
    <row r="139" spans="1:11" ht="13.5" thickBot="1">
      <c r="A139" s="13"/>
      <c r="B139" s="14"/>
      <c r="C139" s="10" t="s">
        <v>322</v>
      </c>
      <c r="D139" s="407">
        <f>D115</f>
        <v>1116266.1</v>
      </c>
      <c r="E139" s="357">
        <f>D139/D129</f>
        <v>0.17711080203582158</v>
      </c>
      <c r="F139" s="101" t="s">
        <v>130</v>
      </c>
      <c r="G139" s="101"/>
      <c r="H139" s="18"/>
      <c r="I139" s="18"/>
      <c r="J139" s="18"/>
      <c r="K139" s="18"/>
    </row>
    <row r="140" spans="1:11" ht="12.75">
      <c r="A140" s="13"/>
      <c r="B140" s="14"/>
      <c r="C140" s="10"/>
      <c r="D140" s="33"/>
      <c r="E140" s="185"/>
      <c r="F140" s="102"/>
      <c r="G140" s="102"/>
      <c r="H140" s="30"/>
      <c r="I140" s="30"/>
      <c r="J140" s="30"/>
      <c r="K140" s="30"/>
    </row>
    <row r="141" spans="1:11" ht="12.75">
      <c r="A141" s="533" t="s">
        <v>24</v>
      </c>
      <c r="B141" s="541"/>
      <c r="C141" s="542"/>
      <c r="D141" s="33"/>
      <c r="E141" s="593" t="s">
        <v>355</v>
      </c>
      <c r="F141" s="594"/>
      <c r="G141" s="594"/>
      <c r="H141" s="594"/>
      <c r="I141" s="594"/>
      <c r="J141" s="594"/>
      <c r="K141" s="585"/>
    </row>
    <row r="142" spans="1:11" ht="12.75">
      <c r="A142" s="34"/>
      <c r="B142" s="14"/>
      <c r="C142" s="10" t="s">
        <v>354</v>
      </c>
      <c r="D142" s="67">
        <f>D135*2%</f>
        <v>58328.7584</v>
      </c>
      <c r="E142" s="316" t="s">
        <v>60</v>
      </c>
      <c r="F142" s="18"/>
      <c r="G142" s="18"/>
      <c r="H142" s="18"/>
      <c r="I142" s="18"/>
      <c r="J142" s="18"/>
      <c r="K142" s="18"/>
    </row>
    <row r="143" spans="1:11" ht="12.75">
      <c r="A143" s="34"/>
      <c r="B143" s="14"/>
      <c r="C143" s="10"/>
      <c r="D143" s="580"/>
      <c r="E143" s="581"/>
      <c r="F143" s="582"/>
      <c r="G143" s="582"/>
      <c r="H143" s="582"/>
      <c r="I143" s="582"/>
      <c r="J143" s="582"/>
      <c r="K143" s="582"/>
    </row>
    <row r="144" spans="1:11" ht="12.75">
      <c r="A144" s="533" t="s">
        <v>139</v>
      </c>
      <c r="B144" s="534"/>
      <c r="C144" s="543" t="s">
        <v>151</v>
      </c>
      <c r="D144" s="23" t="s">
        <v>151</v>
      </c>
      <c r="E144" s="41" t="s">
        <v>151</v>
      </c>
      <c r="F144" s="30"/>
      <c r="G144" s="30"/>
      <c r="H144" s="30"/>
      <c r="I144" s="30"/>
      <c r="J144" s="30"/>
      <c r="K144" s="30"/>
    </row>
    <row r="145" spans="1:11" ht="12.75">
      <c r="A145" s="602" t="s">
        <v>151</v>
      </c>
      <c r="B145" s="603"/>
      <c r="C145" s="296" t="s">
        <v>259</v>
      </c>
      <c r="D145" s="505">
        <v>2010</v>
      </c>
      <c r="E145" s="514" t="s">
        <v>430</v>
      </c>
      <c r="F145" s="520"/>
      <c r="G145" s="520"/>
      <c r="H145" s="521"/>
      <c r="I145" s="522"/>
      <c r="J145" s="523"/>
      <c r="K145" s="519"/>
    </row>
    <row r="146" spans="1:11" ht="12.75">
      <c r="A146" s="39"/>
      <c r="B146" s="382"/>
      <c r="C146" s="296" t="s">
        <v>10</v>
      </c>
      <c r="D146" s="506">
        <f>G125</f>
        <v>20</v>
      </c>
      <c r="E146" s="514" t="s">
        <v>50</v>
      </c>
      <c r="F146" s="515"/>
      <c r="G146" s="515"/>
      <c r="H146" s="516"/>
      <c r="I146" s="517"/>
      <c r="J146" s="518"/>
      <c r="K146" s="519"/>
    </row>
    <row r="147" spans="1:11" ht="12.75">
      <c r="A147" s="13"/>
      <c r="B147" s="14"/>
      <c r="C147" s="10" t="s">
        <v>331</v>
      </c>
      <c r="D147" s="38">
        <v>0.0275</v>
      </c>
      <c r="E147" s="240" t="s">
        <v>12</v>
      </c>
      <c r="F147" s="18"/>
      <c r="G147" s="18"/>
      <c r="H147" s="18"/>
      <c r="I147" s="18"/>
      <c r="J147" s="9"/>
      <c r="K147" s="274" t="s">
        <v>274</v>
      </c>
    </row>
    <row r="148" spans="1:11" ht="12.75">
      <c r="A148" s="13"/>
      <c r="B148" s="14"/>
      <c r="C148" s="10" t="s">
        <v>254</v>
      </c>
      <c r="D148" s="68">
        <v>0.07</v>
      </c>
      <c r="E148" s="240" t="s">
        <v>56</v>
      </c>
      <c r="F148" s="18"/>
      <c r="G148" s="18"/>
      <c r="H148" s="18"/>
      <c r="I148" s="18"/>
      <c r="J148" s="9"/>
      <c r="K148" s="8"/>
    </row>
    <row r="149" spans="1:11" ht="12.75">
      <c r="A149" s="13"/>
      <c r="B149" s="14"/>
      <c r="C149" s="10" t="s">
        <v>194</v>
      </c>
      <c r="D149" s="38">
        <v>0.017</v>
      </c>
      <c r="E149" s="105" t="s">
        <v>11</v>
      </c>
      <c r="F149" s="106"/>
      <c r="G149" s="52"/>
      <c r="H149" s="53"/>
      <c r="I149" s="54"/>
      <c r="J149" s="55"/>
      <c r="K149" s="275" t="s">
        <v>274</v>
      </c>
    </row>
    <row r="150" spans="1:12" ht="12.75">
      <c r="A150" s="13"/>
      <c r="B150" s="14"/>
      <c r="C150" s="10" t="s">
        <v>256</v>
      </c>
      <c r="D150" s="38">
        <v>0.015</v>
      </c>
      <c r="E150" s="105" t="s">
        <v>11</v>
      </c>
      <c r="F150" s="106"/>
      <c r="G150" s="52"/>
      <c r="H150" s="53"/>
      <c r="I150" s="54"/>
      <c r="J150" s="55"/>
      <c r="K150" s="275" t="s">
        <v>274</v>
      </c>
      <c r="L150" s="221"/>
    </row>
    <row r="151" spans="1:12" ht="12.75">
      <c r="A151" s="13"/>
      <c r="B151" s="14"/>
      <c r="C151" s="10" t="s">
        <v>257</v>
      </c>
      <c r="D151" s="38">
        <v>0.015</v>
      </c>
      <c r="E151" s="105" t="s">
        <v>11</v>
      </c>
      <c r="F151" s="106"/>
      <c r="G151" s="52"/>
      <c r="H151" s="53"/>
      <c r="I151" s="54"/>
      <c r="J151" s="55"/>
      <c r="K151" s="275" t="s">
        <v>274</v>
      </c>
      <c r="L151" s="221"/>
    </row>
    <row r="152" spans="1:12" ht="12.75">
      <c r="A152" s="13"/>
      <c r="B152" s="14"/>
      <c r="C152" s="10" t="s">
        <v>182</v>
      </c>
      <c r="D152" s="38">
        <v>0.02</v>
      </c>
      <c r="E152" s="105" t="s">
        <v>51</v>
      </c>
      <c r="F152" s="106"/>
      <c r="G152" s="52"/>
      <c r="H152" s="53"/>
      <c r="I152" s="54"/>
      <c r="J152" s="55"/>
      <c r="K152" s="275" t="s">
        <v>274</v>
      </c>
      <c r="L152" s="221"/>
    </row>
    <row r="153" spans="1:11" ht="13.5" thickBot="1">
      <c r="A153" s="13"/>
      <c r="B153" s="14"/>
      <c r="C153" s="10"/>
      <c r="D153" s="38"/>
      <c r="E153" s="158"/>
      <c r="F153" s="159"/>
      <c r="G153" s="70"/>
      <c r="H153" s="160"/>
      <c r="I153" s="71"/>
      <c r="J153" s="161"/>
      <c r="K153" s="155"/>
    </row>
    <row r="154" spans="1:11" s="6" customFormat="1" ht="13.5" thickBot="1">
      <c r="A154" s="550" t="s">
        <v>26</v>
      </c>
      <c r="B154" s="551"/>
      <c r="C154" s="552"/>
      <c r="D154" s="553"/>
      <c r="E154" s="554"/>
      <c r="F154" s="555" t="s">
        <v>151</v>
      </c>
      <c r="G154" s="556"/>
      <c r="H154" s="557"/>
      <c r="I154" s="558"/>
      <c r="J154" s="559"/>
      <c r="K154" s="560"/>
    </row>
    <row r="155" spans="1:11" ht="12.75">
      <c r="A155" s="202" t="s">
        <v>380</v>
      </c>
      <c r="B155" s="74"/>
      <c r="C155" s="17"/>
      <c r="D155" s="38"/>
      <c r="E155" s="69"/>
      <c r="F155" s="70"/>
      <c r="G155" s="70"/>
      <c r="H155" s="75"/>
      <c r="I155" s="71"/>
      <c r="J155" s="76"/>
      <c r="K155" s="70"/>
    </row>
    <row r="156" spans="1:11" ht="12.75">
      <c r="A156" s="202" t="s">
        <v>27</v>
      </c>
      <c r="B156" s="74"/>
      <c r="C156" s="17"/>
      <c r="D156" s="38"/>
      <c r="E156" s="69"/>
      <c r="F156" s="70"/>
      <c r="G156" s="70"/>
      <c r="H156" s="75"/>
      <c r="I156" s="71"/>
      <c r="J156" s="76"/>
      <c r="K156" s="70"/>
    </row>
    <row r="157" spans="1:11" ht="12.75">
      <c r="A157" s="202"/>
      <c r="B157" s="74"/>
      <c r="C157" s="17"/>
      <c r="D157" s="38"/>
      <c r="E157" s="69"/>
      <c r="F157" s="70"/>
      <c r="G157" s="70"/>
      <c r="H157" s="75"/>
      <c r="I157" s="71"/>
      <c r="J157" s="76"/>
      <c r="K157" s="70"/>
    </row>
    <row r="158" spans="1:11" ht="12.75">
      <c r="A158" s="73"/>
      <c r="B158" s="74"/>
      <c r="C158" s="111" t="s">
        <v>197</v>
      </c>
      <c r="D158" s="112" t="s">
        <v>196</v>
      </c>
      <c r="E158" s="69"/>
      <c r="F158" s="70"/>
      <c r="G158" s="70"/>
      <c r="H158" s="75"/>
      <c r="I158" s="71"/>
      <c r="J158" s="76"/>
      <c r="K158" s="70"/>
    </row>
    <row r="159" spans="1:11" ht="13.5" thickBot="1">
      <c r="A159" s="34" t="s">
        <v>151</v>
      </c>
      <c r="B159" s="72"/>
      <c r="C159" s="15"/>
      <c r="D159" s="38"/>
      <c r="E159" s="113" t="s">
        <v>345</v>
      </c>
      <c r="F159" s="114"/>
      <c r="G159" s="114"/>
      <c r="H159" s="84"/>
      <c r="I159" s="85"/>
      <c r="J159" s="86"/>
      <c r="K159" s="87"/>
    </row>
    <row r="160" spans="1:11" ht="13.5" thickBot="1">
      <c r="A160" s="110" t="s">
        <v>170</v>
      </c>
      <c r="B160" s="14"/>
      <c r="C160" s="117" t="s">
        <v>151</v>
      </c>
      <c r="D160" s="118">
        <f>D79</f>
        <v>6302642.68</v>
      </c>
      <c r="E160" s="92" t="s">
        <v>29</v>
      </c>
      <c r="F160" s="88"/>
      <c r="G160" s="88"/>
      <c r="H160" s="78"/>
      <c r="I160" s="93"/>
      <c r="J160" s="89"/>
      <c r="K160" s="90"/>
    </row>
    <row r="161" spans="1:12" ht="14.25" thickBot="1">
      <c r="A161" s="586" t="s">
        <v>332</v>
      </c>
      <c r="B161" s="587"/>
      <c r="C161" s="119" t="s">
        <v>151</v>
      </c>
      <c r="D161" s="120">
        <f>'Calculs détaillés'!AI38</f>
        <v>877120.243003277</v>
      </c>
      <c r="E161" s="591" t="s">
        <v>57</v>
      </c>
      <c r="F161" s="585"/>
      <c r="G161" s="585"/>
      <c r="H161" s="585"/>
      <c r="I161" s="585"/>
      <c r="J161" s="592"/>
      <c r="K161" s="406" t="s">
        <v>151</v>
      </c>
      <c r="L161" t="s">
        <v>151</v>
      </c>
    </row>
    <row r="162" spans="1:11" ht="12.75">
      <c r="A162" s="586" t="s">
        <v>330</v>
      </c>
      <c r="B162" s="585"/>
      <c r="C162" s="119" t="s">
        <v>151</v>
      </c>
      <c r="D162" s="120">
        <f>D142</f>
        <v>58328.7584</v>
      </c>
      <c r="E162" s="92" t="s">
        <v>28</v>
      </c>
      <c r="F162" s="88"/>
      <c r="G162" s="88"/>
      <c r="H162" s="78"/>
      <c r="I162" s="93"/>
      <c r="J162" s="89"/>
      <c r="K162" s="90"/>
    </row>
    <row r="163" spans="1:11" ht="12.75">
      <c r="A163" s="39" t="s">
        <v>210</v>
      </c>
      <c r="B163" s="40"/>
      <c r="C163" s="143" t="s">
        <v>151</v>
      </c>
      <c r="D163" s="121">
        <f>SUM(D160:D162)</f>
        <v>7238091.6814032765</v>
      </c>
      <c r="E163" s="92" t="s">
        <v>58</v>
      </c>
      <c r="F163" s="88"/>
      <c r="G163" s="88"/>
      <c r="H163" s="78"/>
      <c r="I163" s="93"/>
      <c r="J163" s="89"/>
      <c r="K163" s="90"/>
    </row>
    <row r="164" spans="1:11" ht="12.75">
      <c r="A164" s="134" t="s">
        <v>151</v>
      </c>
      <c r="B164" s="145"/>
      <c r="C164" s="135"/>
      <c r="D164" s="146"/>
      <c r="E164" s="113" t="s">
        <v>8</v>
      </c>
      <c r="F164" s="114"/>
      <c r="G164" s="114"/>
      <c r="H164" s="84"/>
      <c r="I164" s="94"/>
      <c r="J164" s="95"/>
      <c r="K164" s="96"/>
    </row>
    <row r="165" spans="1:12" ht="12.75">
      <c r="A165" s="110" t="s">
        <v>381</v>
      </c>
      <c r="B165" s="14"/>
      <c r="C165" s="122">
        <f>'Calculs détaillés'!C38</f>
        <v>1015845.869510398</v>
      </c>
      <c r="D165" s="184" t="s">
        <v>151</v>
      </c>
      <c r="E165" s="92" t="s">
        <v>7</v>
      </c>
      <c r="F165" s="88"/>
      <c r="G165" s="88"/>
      <c r="H165" s="78"/>
      <c r="I165" s="93"/>
      <c r="J165" s="89"/>
      <c r="K165" s="90"/>
      <c r="L165" t="s">
        <v>151</v>
      </c>
    </row>
    <row r="166" spans="1:12" ht="12.75">
      <c r="A166" s="110" t="s">
        <v>349</v>
      </c>
      <c r="B166" s="14"/>
      <c r="C166" s="122">
        <f>'Calculs détaillés'!D38</f>
        <v>699636.2769751144</v>
      </c>
      <c r="D166" s="184" t="s">
        <v>151</v>
      </c>
      <c r="E166" s="92" t="s">
        <v>6</v>
      </c>
      <c r="F166" s="88"/>
      <c r="G166" s="88"/>
      <c r="H166" s="78"/>
      <c r="I166" s="93"/>
      <c r="J166" s="89"/>
      <c r="K166" s="90"/>
      <c r="L166" t="s">
        <v>151</v>
      </c>
    </row>
    <row r="167" spans="1:12" ht="12.75">
      <c r="A167" s="218" t="s">
        <v>266</v>
      </c>
      <c r="B167" s="410"/>
      <c r="C167" s="409">
        <f>'Calculs détaillés'!F32</f>
        <v>212856</v>
      </c>
      <c r="D167" s="184" t="s">
        <v>151</v>
      </c>
      <c r="E167" s="92" t="s">
        <v>65</v>
      </c>
      <c r="F167" s="88"/>
      <c r="G167" s="88"/>
      <c r="H167" s="239"/>
      <c r="I167" s="93"/>
      <c r="J167" s="89"/>
      <c r="K167" s="90"/>
      <c r="L167" t="s">
        <v>151</v>
      </c>
    </row>
    <row r="168" spans="1:12" ht="12" customHeight="1">
      <c r="A168" s="218" t="s">
        <v>265</v>
      </c>
      <c r="B168" s="410"/>
      <c r="C168" s="409">
        <f>D108*(-1)</f>
        <v>-85142.40000000001</v>
      </c>
      <c r="D168" s="184"/>
      <c r="E168" s="92" t="s">
        <v>9</v>
      </c>
      <c r="F168" s="88"/>
      <c r="G168" s="88"/>
      <c r="H168" s="239"/>
      <c r="I168" s="93"/>
      <c r="J168" s="89"/>
      <c r="K168" s="90"/>
      <c r="L168" t="s">
        <v>151</v>
      </c>
    </row>
    <row r="169" spans="1:12" ht="13.5" customHeight="1">
      <c r="A169" s="588" t="s">
        <v>235</v>
      </c>
      <c r="B169" s="589"/>
      <c r="C169" s="123">
        <f>'Calculs détaillés'!H38</f>
        <v>23598.820058997084</v>
      </c>
      <c r="D169" s="184" t="s">
        <v>151</v>
      </c>
      <c r="E169" s="92" t="s">
        <v>13</v>
      </c>
      <c r="F169" s="88"/>
      <c r="G169" s="88"/>
      <c r="H169" s="78"/>
      <c r="I169" s="93"/>
      <c r="J169" s="89"/>
      <c r="K169" s="90"/>
      <c r="L169" t="s">
        <v>151</v>
      </c>
    </row>
    <row r="170" spans="1:12" ht="12.75">
      <c r="A170" s="110" t="s">
        <v>66</v>
      </c>
      <c r="B170" s="14"/>
      <c r="C170" s="122">
        <f>'Calculs détaillés'!E38</f>
        <v>-51464.46439456536</v>
      </c>
      <c r="D170" s="184" t="s">
        <v>151</v>
      </c>
      <c r="E170" s="92" t="s">
        <v>14</v>
      </c>
      <c r="F170" s="88"/>
      <c r="G170" s="88"/>
      <c r="H170" s="78"/>
      <c r="I170" s="93"/>
      <c r="J170" s="89"/>
      <c r="K170" s="90"/>
      <c r="L170" t="s">
        <v>151</v>
      </c>
    </row>
    <row r="171" spans="1:11" ht="12.75">
      <c r="A171" s="39" t="s">
        <v>207</v>
      </c>
      <c r="B171" s="40"/>
      <c r="C171" s="136">
        <f>SUM(C165:C170)</f>
        <v>1815330.102149944</v>
      </c>
      <c r="D171" s="183" t="s">
        <v>151</v>
      </c>
      <c r="E171" s="92" t="s">
        <v>15</v>
      </c>
      <c r="F171" s="88"/>
      <c r="G171" s="88"/>
      <c r="H171" s="78"/>
      <c r="I171" s="93"/>
      <c r="J171" s="89"/>
      <c r="K171" s="90"/>
    </row>
    <row r="172" spans="1:11" ht="12.75">
      <c r="A172" s="130"/>
      <c r="B172" s="131"/>
      <c r="C172" s="133"/>
      <c r="D172" s="132"/>
      <c r="E172" s="113" t="s">
        <v>67</v>
      </c>
      <c r="F172" s="164"/>
      <c r="G172" s="164"/>
      <c r="H172" s="84"/>
      <c r="I172" s="94"/>
      <c r="J172" s="95"/>
      <c r="K172" s="96"/>
    </row>
    <row r="173" spans="1:11" ht="12.75">
      <c r="A173" s="34" t="s">
        <v>236</v>
      </c>
      <c r="B173" s="14"/>
      <c r="C173" s="119"/>
      <c r="D173" s="121">
        <f>D163-C171</f>
        <v>5422761.579253333</v>
      </c>
      <c r="E173" s="92"/>
      <c r="F173" s="88"/>
      <c r="G173" s="88"/>
      <c r="H173" s="78"/>
      <c r="I173" s="93"/>
      <c r="J173" s="270" t="s">
        <v>151</v>
      </c>
      <c r="K173" s="271" t="s">
        <v>151</v>
      </c>
    </row>
    <row r="174" spans="1:11" ht="12.75">
      <c r="A174" s="34" t="s">
        <v>156</v>
      </c>
      <c r="B174" s="14"/>
      <c r="C174" s="119"/>
      <c r="D174" s="121">
        <f>D175+D176</f>
        <v>197171.2484445098</v>
      </c>
      <c r="E174" s="92" t="s">
        <v>151</v>
      </c>
      <c r="F174" s="88"/>
      <c r="G174" s="88"/>
      <c r="H174" s="78"/>
      <c r="I174" s="93"/>
      <c r="J174" s="270"/>
      <c r="K174" s="271"/>
    </row>
    <row r="175" spans="1:11" ht="12.75">
      <c r="A175" s="110" t="s">
        <v>413</v>
      </c>
      <c r="B175" s="14"/>
      <c r="C175" s="119"/>
      <c r="D175" s="638">
        <f>D123</f>
        <v>178342.72</v>
      </c>
      <c r="E175" s="92" t="s">
        <v>416</v>
      </c>
      <c r="F175" s="88"/>
      <c r="G175" s="88"/>
      <c r="H175" s="78"/>
      <c r="I175" s="93"/>
      <c r="J175" s="270"/>
      <c r="K175" s="271"/>
    </row>
    <row r="176" spans="1:11" ht="12.75">
      <c r="A176" s="110" t="s">
        <v>414</v>
      </c>
      <c r="B176" s="14"/>
      <c r="C176" s="119"/>
      <c r="D176" s="638">
        <f>'Calculs détaillés'!AR39</f>
        <v>18828.528444509808</v>
      </c>
      <c r="E176" s="92" t="s">
        <v>417</v>
      </c>
      <c r="F176" s="88"/>
      <c r="G176" s="88"/>
      <c r="H176" s="78"/>
      <c r="I176" s="93"/>
      <c r="J176" s="270"/>
      <c r="K176" s="271"/>
    </row>
    <row r="177" spans="1:11" ht="12.75">
      <c r="A177" s="34" t="s">
        <v>157</v>
      </c>
      <c r="B177" s="14"/>
      <c r="C177" s="119"/>
      <c r="D177" s="121">
        <f>D173+D174</f>
        <v>5619932.827697842</v>
      </c>
      <c r="E177" s="92"/>
      <c r="F177" s="88"/>
      <c r="G177" s="88"/>
      <c r="H177" s="78"/>
      <c r="I177" s="93"/>
      <c r="J177" s="270"/>
      <c r="K177" s="271"/>
    </row>
    <row r="178" spans="1:11" ht="12.75">
      <c r="A178" s="134"/>
      <c r="B178" s="131"/>
      <c r="C178" s="135"/>
      <c r="D178" s="132"/>
      <c r="E178" s="113" t="s">
        <v>217</v>
      </c>
      <c r="F178" s="164"/>
      <c r="G178" s="164"/>
      <c r="H178" s="84"/>
      <c r="I178" s="94"/>
      <c r="J178" s="95"/>
      <c r="K178" s="96"/>
    </row>
    <row r="179" spans="1:11" ht="12.75">
      <c r="A179" s="34" t="s">
        <v>195</v>
      </c>
      <c r="B179" s="14"/>
      <c r="C179" s="119"/>
      <c r="D179" s="121"/>
      <c r="E179" s="113" t="s">
        <v>357</v>
      </c>
      <c r="F179" s="114"/>
      <c r="G179" s="114"/>
      <c r="H179" s="148"/>
      <c r="I179" s="149"/>
      <c r="J179" s="150"/>
      <c r="K179" s="151"/>
    </row>
    <row r="180" spans="1:11" ht="12.75">
      <c r="A180" s="115" t="s">
        <v>199</v>
      </c>
      <c r="B180" s="116"/>
      <c r="C180" s="123">
        <f>D122</f>
        <v>3207862.04</v>
      </c>
      <c r="D180" s="184">
        <f>C180/C183</f>
        <v>0.6780105922710945</v>
      </c>
      <c r="E180" s="92" t="s">
        <v>382</v>
      </c>
      <c r="F180" s="88"/>
      <c r="G180" s="88"/>
      <c r="H180" s="78"/>
      <c r="I180" s="93"/>
      <c r="J180" s="89"/>
      <c r="K180" s="90"/>
    </row>
    <row r="181" spans="1:11" ht="12.75">
      <c r="A181" s="115" t="s">
        <v>0</v>
      </c>
      <c r="B181" s="116"/>
      <c r="C181" s="122">
        <f>'Calculs détaillés'!AP38</f>
        <v>1523423.9849790535</v>
      </c>
      <c r="D181" s="184">
        <f>C181/C183</f>
        <v>0.3219894077289056</v>
      </c>
      <c r="E181" s="92" t="s">
        <v>383</v>
      </c>
      <c r="F181" s="88"/>
      <c r="G181" s="88"/>
      <c r="H181" s="78"/>
      <c r="I181" s="93"/>
      <c r="J181" s="89"/>
      <c r="K181" s="90"/>
    </row>
    <row r="182" spans="1:11" ht="12.75">
      <c r="A182" s="221" t="s">
        <v>231</v>
      </c>
      <c r="C182" s="222">
        <v>0</v>
      </c>
      <c r="D182" s="223">
        <f>C182/C183</f>
        <v>0</v>
      </c>
      <c r="E182" s="92" t="s">
        <v>59</v>
      </c>
      <c r="F182" s="224"/>
      <c r="G182" s="224"/>
      <c r="H182" s="224"/>
      <c r="I182" s="224"/>
      <c r="J182" s="224"/>
      <c r="K182" s="8"/>
    </row>
    <row r="183" spans="1:11" ht="12.75">
      <c r="A183" s="39" t="s">
        <v>105</v>
      </c>
      <c r="B183" s="40"/>
      <c r="C183" s="144">
        <f>SUM(C180:C182)</f>
        <v>4731286.024979053</v>
      </c>
      <c r="D183" s="184" t="s">
        <v>151</v>
      </c>
      <c r="E183" s="81"/>
      <c r="F183" s="79"/>
      <c r="G183" s="79"/>
      <c r="H183" s="53"/>
      <c r="I183" s="82"/>
      <c r="J183" s="80"/>
      <c r="K183" s="91"/>
    </row>
    <row r="184" spans="1:11" ht="13.5" thickBot="1">
      <c r="A184" s="134" t="s">
        <v>151</v>
      </c>
      <c r="B184" s="131"/>
      <c r="C184" s="212"/>
      <c r="D184" s="213"/>
      <c r="E184" s="165"/>
      <c r="F184" s="166"/>
      <c r="G184" s="166"/>
      <c r="H184" s="167"/>
      <c r="I184" s="168"/>
      <c r="J184" s="169"/>
      <c r="K184" s="170"/>
    </row>
    <row r="185" spans="1:11" ht="12.75">
      <c r="A185" s="39" t="s">
        <v>415</v>
      </c>
      <c r="B185" s="40"/>
      <c r="C185" s="17"/>
      <c r="D185" s="395">
        <f>D177-C183</f>
        <v>888646.8027187893</v>
      </c>
      <c r="E185" s="165"/>
      <c r="F185" s="166"/>
      <c r="G185" s="166"/>
      <c r="H185" s="167"/>
      <c r="I185" s="168"/>
      <c r="J185" s="169"/>
      <c r="K185" s="170"/>
    </row>
    <row r="186" spans="1:11" ht="12.75">
      <c r="A186" s="134"/>
      <c r="B186" s="131"/>
      <c r="C186" s="393"/>
      <c r="D186" s="394" t="s">
        <v>151</v>
      </c>
      <c r="E186" s="165"/>
      <c r="F186" s="166"/>
      <c r="G186" s="166"/>
      <c r="H186" s="167"/>
      <c r="I186" s="168"/>
      <c r="J186" s="169"/>
      <c r="K186" s="170"/>
    </row>
    <row r="187" spans="1:11" ht="13.5" thickBot="1">
      <c r="A187" s="39"/>
      <c r="B187" s="40"/>
      <c r="C187" s="17"/>
      <c r="D187" s="395"/>
      <c r="E187" s="165" t="s">
        <v>106</v>
      </c>
      <c r="F187" s="248"/>
      <c r="G187" s="248"/>
      <c r="H187" s="248"/>
      <c r="I187" s="248"/>
      <c r="J187" s="248"/>
      <c r="K187" s="170"/>
    </row>
    <row r="188" spans="1:11" ht="12.75">
      <c r="A188" s="34" t="s">
        <v>209</v>
      </c>
      <c r="B188" s="14"/>
      <c r="C188" s="153"/>
      <c r="D188" s="408">
        <f>D185</f>
        <v>888646.8027187893</v>
      </c>
      <c r="E188" s="81" t="s">
        <v>287</v>
      </c>
      <c r="F188" s="79"/>
      <c r="G188" s="79"/>
      <c r="H188" s="53"/>
      <c r="I188" s="82"/>
      <c r="J188" s="80"/>
      <c r="K188" s="56"/>
    </row>
    <row r="189" spans="1:11" ht="13.5" thickBot="1">
      <c r="A189" s="34"/>
      <c r="B189" s="14"/>
      <c r="C189" s="153"/>
      <c r="D189" s="154"/>
      <c r="E189" s="81" t="s">
        <v>288</v>
      </c>
      <c r="F189" s="79"/>
      <c r="G189" s="79"/>
      <c r="H189" s="53"/>
      <c r="I189" s="82"/>
      <c r="J189" s="80"/>
      <c r="K189" s="56"/>
    </row>
    <row r="190" spans="1:11" ht="13.5" thickBot="1">
      <c r="A190" s="34"/>
      <c r="B190" s="14"/>
      <c r="C190" s="10"/>
      <c r="D190" s="83"/>
      <c r="E190" s="81" t="s">
        <v>216</v>
      </c>
      <c r="F190" s="52"/>
      <c r="G190" s="52"/>
      <c r="H190" s="53"/>
      <c r="I190" s="54"/>
      <c r="J190" s="55"/>
      <c r="K190" s="480">
        <f>(C183/G125)*10%</f>
        <v>23656.43012489527</v>
      </c>
    </row>
    <row r="191" spans="1:11" ht="13.5" thickBot="1">
      <c r="A191" s="34" t="s">
        <v>371</v>
      </c>
      <c r="B191" s="14"/>
      <c r="C191" s="10"/>
      <c r="D191" s="460">
        <f>'Calculs détaillés'!AQ39</f>
        <v>23656.43012489527</v>
      </c>
      <c r="E191" s="81" t="s">
        <v>384</v>
      </c>
      <c r="F191" s="52"/>
      <c r="G191" s="52"/>
      <c r="H191" s="53"/>
      <c r="I191" s="54"/>
      <c r="J191" s="55"/>
      <c r="K191" s="461"/>
    </row>
    <row r="192" spans="1:11" ht="13.5" thickBot="1">
      <c r="A192" s="34" t="s">
        <v>206</v>
      </c>
      <c r="B192" s="14"/>
      <c r="C192" s="153"/>
      <c r="D192" s="156">
        <f>C183/D177</f>
        <v>0.8418759031533094</v>
      </c>
      <c r="E192" s="396" t="s">
        <v>286</v>
      </c>
      <c r="F192" s="79"/>
      <c r="G192" s="79"/>
      <c r="H192" s="53"/>
      <c r="I192" s="82"/>
      <c r="J192" s="80"/>
      <c r="K192" s="91"/>
    </row>
    <row r="193" spans="1:11" ht="13.5" thickBot="1">
      <c r="A193" s="34" t="s">
        <v>202</v>
      </c>
      <c r="B193" s="14"/>
      <c r="C193" s="153"/>
      <c r="D193" s="156">
        <f>D115/D177</f>
        <v>0.19862623526361062</v>
      </c>
      <c r="E193" s="81" t="s">
        <v>143</v>
      </c>
      <c r="F193" s="79"/>
      <c r="G193" s="79"/>
      <c r="H193" s="53"/>
      <c r="I193" s="82"/>
      <c r="J193" s="80"/>
      <c r="K193" s="91"/>
    </row>
    <row r="194" spans="1:11" ht="13.5" thickBot="1">
      <c r="A194" s="34" t="s">
        <v>284</v>
      </c>
      <c r="B194" s="14"/>
      <c r="C194" s="153"/>
      <c r="D194" s="156">
        <f>D115/C183</f>
        <v>0.23593291424501062</v>
      </c>
      <c r="E194" s="81" t="s">
        <v>285</v>
      </c>
      <c r="F194" s="79"/>
      <c r="G194" s="79"/>
      <c r="H194" s="53"/>
      <c r="I194" s="82"/>
      <c r="J194" s="80"/>
      <c r="K194" s="91"/>
    </row>
    <row r="195" spans="1:11" ht="12.75">
      <c r="A195" t="s">
        <v>151</v>
      </c>
      <c r="B195" s="14"/>
      <c r="C195" s="10"/>
      <c r="D195" s="77"/>
      <c r="E195" s="124"/>
      <c r="F195" s="125"/>
      <c r="G195" s="125"/>
      <c r="H195" s="126"/>
      <c r="I195" s="127"/>
      <c r="J195" s="128"/>
      <c r="K195" s="129"/>
    </row>
    <row r="196" spans="1:5" ht="12.75">
      <c r="A196" s="1" t="s">
        <v>88</v>
      </c>
      <c r="B196" s="1"/>
      <c r="C196" s="1"/>
      <c r="D196" s="1"/>
      <c r="E196" s="1"/>
    </row>
    <row r="197" spans="1:12" ht="12.75">
      <c r="A197" s="49" t="s">
        <v>151</v>
      </c>
      <c r="B197" s="49"/>
      <c r="C197" s="49"/>
      <c r="D197" s="49" t="s">
        <v>151</v>
      </c>
      <c r="E197" s="58" t="s">
        <v>151</v>
      </c>
      <c r="F197" s="58"/>
      <c r="G197" s="58"/>
      <c r="H197" s="58"/>
      <c r="I197" s="58"/>
      <c r="J197" s="49"/>
      <c r="K197" s="49"/>
      <c r="L197" s="16"/>
    </row>
    <row r="198" spans="1:12" ht="12.75">
      <c r="A198" s="49" t="s">
        <v>151</v>
      </c>
      <c r="B198" s="49"/>
      <c r="C198" s="49"/>
      <c r="D198" s="49" t="s">
        <v>151</v>
      </c>
      <c r="E198" s="58" t="s">
        <v>151</v>
      </c>
      <c r="F198" s="58"/>
      <c r="G198" s="58"/>
      <c r="H198" s="58"/>
      <c r="I198" s="58"/>
      <c r="J198" s="49"/>
      <c r="K198" s="49"/>
      <c r="L198" s="16"/>
    </row>
    <row r="199" spans="1:11" ht="12.75">
      <c r="A199" s="43" t="s">
        <v>151</v>
      </c>
      <c r="B199" s="43"/>
      <c r="C199" s="43"/>
      <c r="D199" s="43" t="s">
        <v>151</v>
      </c>
      <c r="E199" s="49"/>
      <c r="F199" s="49"/>
      <c r="G199" s="49"/>
      <c r="H199" s="49"/>
      <c r="I199" s="49"/>
      <c r="J199" s="49"/>
      <c r="K199" s="49"/>
    </row>
    <row r="200" spans="1:11" ht="12.7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</row>
  </sheetData>
  <sheetProtection/>
  <mergeCells count="26">
    <mergeCell ref="C53:K53"/>
    <mergeCell ref="A93:C93"/>
    <mergeCell ref="A73:C73"/>
    <mergeCell ref="E73:K73"/>
    <mergeCell ref="B87:C87"/>
    <mergeCell ref="C71:H71"/>
    <mergeCell ref="D62:F62"/>
    <mergeCell ref="E75:I75"/>
    <mergeCell ref="A1:B1"/>
    <mergeCell ref="A5:K5"/>
    <mergeCell ref="A145:B145"/>
    <mergeCell ref="A2:K2"/>
    <mergeCell ref="A4:K4"/>
    <mergeCell ref="E84:J84"/>
    <mergeCell ref="E85:J85"/>
    <mergeCell ref="C50:K50"/>
    <mergeCell ref="C51:K51"/>
    <mergeCell ref="A65:C65"/>
    <mergeCell ref="E102:J102"/>
    <mergeCell ref="A161:B161"/>
    <mergeCell ref="A169:B169"/>
    <mergeCell ref="A162:B162"/>
    <mergeCell ref="E104:J104"/>
    <mergeCell ref="E161:J161"/>
    <mergeCell ref="E141:K141"/>
    <mergeCell ref="A134:F134"/>
  </mergeCells>
  <hyperlinks>
    <hyperlink ref="C19" r:id="rId1" display="2012/21/UE"/>
    <hyperlink ref="C14" r:id="rId2" display="106.2"/>
    <hyperlink ref="C31" r:id="rId3" display="CCH"/>
    <hyperlink ref="C33" r:id="rId4" display="CUS"/>
    <hyperlink ref="C34" r:id="rId5" display="Convention APL"/>
    <hyperlink ref="C32" r:id="rId6" display="SIEG"/>
    <hyperlink ref="K85" r:id="rId7" display="Note DHUP 281211"/>
    <hyperlink ref="K97" r:id="rId8" display="Note DHUP 281211"/>
    <hyperlink ref="K98" r:id="rId9" display="Note DHUP 281211"/>
    <hyperlink ref="K147" r:id="rId10" display="Note DHUP 281211"/>
    <hyperlink ref="K149" r:id="rId11" display="Note DHUP 281211"/>
    <hyperlink ref="K150" r:id="rId12" display="Note DHUP 281211"/>
    <hyperlink ref="K151" r:id="rId13" display="Note DHUP 281211"/>
    <hyperlink ref="K152" r:id="rId14" display="Note DHUP 281211"/>
    <hyperlink ref="C21" r:id="rId15" display="2005/842/CE"/>
    <hyperlink ref="C35" r:id="rId16" display="Mandat OHLM"/>
  </hyperlinks>
  <printOptions/>
  <pageMargins left="0.1968503937007874" right="0.1968503937007874" top="0.7874015748031497" bottom="0.7874015748031497" header="0.3937007874015748" footer="0.3937007874015748"/>
  <pageSetup horizontalDpi="300" verticalDpi="300" orientation="landscape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0.28125" style="0" customWidth="1"/>
    <col min="3" max="3" width="12.8515625" style="0" bestFit="1" customWidth="1"/>
    <col min="4" max="4" width="10.28125" style="0" customWidth="1"/>
    <col min="5" max="5" width="12.7109375" style="0" customWidth="1"/>
    <col min="6" max="6" width="8.8515625" style="0" customWidth="1"/>
    <col min="7" max="7" width="12.7109375" style="0" customWidth="1"/>
    <col min="8" max="8" width="8.8515625" style="0" customWidth="1"/>
    <col min="9" max="11" width="10.7109375" style="0" customWidth="1"/>
    <col min="12" max="13" width="10.421875" style="0" customWidth="1"/>
    <col min="14" max="14" width="12.7109375" style="0" customWidth="1"/>
    <col min="15" max="17" width="10.421875" style="0" customWidth="1"/>
    <col min="18" max="19" width="10.140625" style="0" customWidth="1"/>
    <col min="20" max="20" width="11.7109375" style="0" customWidth="1"/>
    <col min="21" max="23" width="10.140625" style="0" customWidth="1"/>
    <col min="24" max="25" width="9.28125" style="0" customWidth="1"/>
    <col min="26" max="29" width="12.00390625" style="0" customWidth="1"/>
    <col min="30" max="31" width="9.28125" style="0" customWidth="1"/>
    <col min="32" max="32" width="11.7109375" style="0" customWidth="1"/>
    <col min="33" max="33" width="9.28125" style="0" customWidth="1"/>
    <col min="34" max="34" width="10.421875" style="0" customWidth="1"/>
    <col min="36" max="36" width="9.7109375" style="0" customWidth="1"/>
    <col min="37" max="37" width="10.57421875" style="0" customWidth="1"/>
    <col min="38" max="41" width="9.7109375" style="0" customWidth="1"/>
    <col min="42" max="42" width="11.8515625" style="0" customWidth="1"/>
    <col min="43" max="43" width="12.8515625" style="0" customWidth="1"/>
    <col min="44" max="45" width="9.7109375" style="0" customWidth="1"/>
    <col min="46" max="46" width="11.00390625" style="0" customWidth="1"/>
  </cols>
  <sheetData>
    <row r="1" spans="1:35" ht="13.5" thickBot="1">
      <c r="A1" s="351" t="s">
        <v>295</v>
      </c>
      <c r="B1" s="35"/>
      <c r="C1" s="42"/>
      <c r="D1" s="42"/>
      <c r="E1" s="42"/>
      <c r="F1" s="42"/>
      <c r="G1" s="42"/>
      <c r="H1" s="42"/>
      <c r="I1" s="482"/>
      <c r="J1" s="482"/>
      <c r="K1" s="481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35"/>
      <c r="AC1" s="435"/>
      <c r="AD1" s="482" t="s">
        <v>151</v>
      </c>
      <c r="AE1" s="442"/>
      <c r="AF1" s="442"/>
      <c r="AG1" s="177"/>
      <c r="AH1" s="42"/>
      <c r="AI1" s="42"/>
    </row>
    <row r="2" spans="1:35" ht="13.5" thickBot="1">
      <c r="A2" s="45" t="s">
        <v>385</v>
      </c>
      <c r="B2" s="45"/>
      <c r="C2" s="1"/>
      <c r="D2" s="576">
        <f>'Test de compensation'!D149</f>
        <v>0.017</v>
      </c>
      <c r="E2" s="583">
        <f>'Test de compensation'!D97+'Test de compensation'!D98</f>
        <v>0.03</v>
      </c>
      <c r="F2" s="137" t="s">
        <v>61</v>
      </c>
      <c r="G2" s="137"/>
      <c r="H2" s="137"/>
      <c r="I2" s="484"/>
      <c r="J2" s="172"/>
      <c r="K2" s="1"/>
      <c r="L2" s="1" t="s">
        <v>201</v>
      </c>
      <c r="M2" s="1"/>
      <c r="N2" s="1"/>
      <c r="O2" s="1"/>
      <c r="P2" s="1"/>
      <c r="Q2" s="1"/>
      <c r="R2" s="47">
        <f>'Test de compensation'!D131</f>
        <v>2916437.92</v>
      </c>
      <c r="S2" s="47"/>
      <c r="T2" s="47"/>
      <c r="U2" s="47"/>
      <c r="V2" s="47"/>
      <c r="W2" s="47"/>
      <c r="X2" s="1"/>
      <c r="Y2" s="1"/>
      <c r="Z2" s="1"/>
      <c r="AA2" s="1"/>
      <c r="AB2" s="1"/>
      <c r="AC2" s="1"/>
      <c r="AD2" s="484"/>
      <c r="AE2" s="1"/>
      <c r="AF2" s="1"/>
      <c r="AG2" s="1"/>
      <c r="AH2" s="1"/>
      <c r="AI2" s="1"/>
    </row>
    <row r="3" spans="1:35" ht="13.5" thickBot="1">
      <c r="A3" s="45"/>
      <c r="B3" s="45"/>
      <c r="C3" s="1"/>
      <c r="D3" s="46"/>
      <c r="E3" s="137"/>
      <c r="F3" s="137"/>
      <c r="G3" s="137"/>
      <c r="H3" s="137"/>
      <c r="I3" s="1"/>
      <c r="J3" s="1"/>
      <c r="K3" s="1"/>
      <c r="L3" s="1" t="s">
        <v>225</v>
      </c>
      <c r="M3" s="1"/>
      <c r="N3" s="1"/>
      <c r="O3" s="1"/>
      <c r="P3" s="1"/>
      <c r="Q3" s="1"/>
      <c r="R3" s="47">
        <f>'Test de compensation'!G125</f>
        <v>20</v>
      </c>
      <c r="S3" s="47"/>
      <c r="T3" s="47"/>
      <c r="U3" s="47"/>
      <c r="V3" s="47"/>
      <c r="W3" s="47"/>
      <c r="X3" s="1" t="s">
        <v>230</v>
      </c>
      <c r="Y3" s="1"/>
      <c r="Z3" s="1"/>
      <c r="AA3" s="1"/>
      <c r="AB3" s="1"/>
      <c r="AC3" s="1"/>
      <c r="AD3" s="226">
        <f>R3</f>
        <v>20</v>
      </c>
      <c r="AE3" s="226"/>
      <c r="AF3" s="226"/>
      <c r="AG3" s="1"/>
      <c r="AH3" s="1"/>
      <c r="AI3" s="1"/>
    </row>
    <row r="4" spans="1:46" ht="12.75">
      <c r="A4" s="45"/>
      <c r="B4" s="45"/>
      <c r="C4" s="610" t="s">
        <v>63</v>
      </c>
      <c r="D4" s="628"/>
      <c r="E4" s="628"/>
      <c r="F4" s="628"/>
      <c r="G4" s="628"/>
      <c r="H4" s="628"/>
      <c r="I4" s="629"/>
      <c r="J4" s="483" t="s">
        <v>196</v>
      </c>
      <c r="K4" s="483" t="s">
        <v>151</v>
      </c>
      <c r="L4" s="630" t="s">
        <v>151</v>
      </c>
      <c r="M4" s="628"/>
      <c r="N4" s="628"/>
      <c r="O4" s="628"/>
      <c r="P4" s="628"/>
      <c r="Q4" s="628"/>
      <c r="R4" s="628"/>
      <c r="S4" s="628"/>
      <c r="T4" s="628"/>
      <c r="U4" s="628"/>
      <c r="V4" s="628"/>
      <c r="W4" s="628"/>
      <c r="X4" s="628"/>
      <c r="Y4" s="628"/>
      <c r="Z4" s="628"/>
      <c r="AA4" s="628"/>
      <c r="AB4" s="628"/>
      <c r="AC4" s="628"/>
      <c r="AD4" s="628"/>
      <c r="AE4" s="628"/>
      <c r="AF4" s="628"/>
      <c r="AG4" s="628"/>
      <c r="AH4" s="628"/>
      <c r="AI4" s="628"/>
      <c r="AJ4" s="628"/>
      <c r="AK4" s="628"/>
      <c r="AL4" s="628"/>
      <c r="AM4" s="629"/>
      <c r="AN4" s="610" t="s">
        <v>386</v>
      </c>
      <c r="AO4" s="611"/>
      <c r="AP4" s="611"/>
      <c r="AQ4" s="612"/>
      <c r="AR4" s="297" t="s">
        <v>220</v>
      </c>
      <c r="AS4" s="297" t="s">
        <v>221</v>
      </c>
      <c r="AT4" s="209" t="s">
        <v>151</v>
      </c>
    </row>
    <row r="5" spans="1:46" ht="21" thickBot="1">
      <c r="A5" s="45"/>
      <c r="B5" s="45"/>
      <c r="C5" s="178" t="s">
        <v>131</v>
      </c>
      <c r="D5" s="369" t="s">
        <v>132</v>
      </c>
      <c r="E5" s="179" t="s">
        <v>223</v>
      </c>
      <c r="F5" s="485" t="s">
        <v>71</v>
      </c>
      <c r="G5" s="485" t="s">
        <v>268</v>
      </c>
      <c r="H5" s="487" t="s">
        <v>72</v>
      </c>
      <c r="I5" s="486" t="s">
        <v>311</v>
      </c>
      <c r="J5" s="566"/>
      <c r="K5" s="631" t="s">
        <v>89</v>
      </c>
      <c r="L5" s="632"/>
      <c r="M5" s="632"/>
      <c r="N5" s="632"/>
      <c r="O5" s="633"/>
      <c r="P5" s="491"/>
      <c r="Q5" s="634" t="s">
        <v>90</v>
      </c>
      <c r="R5" s="600"/>
      <c r="S5" s="600"/>
      <c r="T5" s="600"/>
      <c r="U5" s="601"/>
      <c r="V5" s="404"/>
      <c r="W5" s="631" t="s">
        <v>91</v>
      </c>
      <c r="X5" s="600"/>
      <c r="Y5" s="600"/>
      <c r="Z5" s="600"/>
      <c r="AA5" s="601"/>
      <c r="AB5" s="404"/>
      <c r="AC5" s="631" t="s">
        <v>92</v>
      </c>
      <c r="AD5" s="600"/>
      <c r="AE5" s="600"/>
      <c r="AF5" s="600"/>
      <c r="AG5" s="601"/>
      <c r="AH5" s="617" t="s">
        <v>93</v>
      </c>
      <c r="AI5" s="618"/>
      <c r="AJ5" s="492" t="s">
        <v>218</v>
      </c>
      <c r="AK5" s="493" t="s">
        <v>219</v>
      </c>
      <c r="AL5" s="495" t="s">
        <v>308</v>
      </c>
      <c r="AM5" s="495" t="s">
        <v>309</v>
      </c>
      <c r="AN5" s="278" t="s">
        <v>226</v>
      </c>
      <c r="AO5" s="279" t="s">
        <v>298</v>
      </c>
      <c r="AP5" s="561" t="s">
        <v>299</v>
      </c>
      <c r="AQ5" s="562" t="s">
        <v>311</v>
      </c>
      <c r="AR5" s="302"/>
      <c r="AS5" s="302"/>
      <c r="AT5" s="301"/>
    </row>
    <row r="6" spans="1:47" ht="51.75" thickBot="1">
      <c r="A6" s="50" t="s">
        <v>172</v>
      </c>
      <c r="B6" s="305" t="s">
        <v>312</v>
      </c>
      <c r="C6" s="181" t="s">
        <v>62</v>
      </c>
      <c r="D6" s="51" t="s">
        <v>43</v>
      </c>
      <c r="E6" s="51" t="s">
        <v>44</v>
      </c>
      <c r="F6" s="444" t="s">
        <v>45</v>
      </c>
      <c r="G6" s="445" t="s">
        <v>46</v>
      </c>
      <c r="H6" s="51" t="s">
        <v>47</v>
      </c>
      <c r="I6" s="304" t="s">
        <v>48</v>
      </c>
      <c r="J6" s="530" t="s">
        <v>172</v>
      </c>
      <c r="K6" s="415" t="s">
        <v>365</v>
      </c>
      <c r="L6" s="416" t="s">
        <v>359</v>
      </c>
      <c r="M6" s="456" t="s">
        <v>366</v>
      </c>
      <c r="N6" s="416" t="s">
        <v>367</v>
      </c>
      <c r="O6" s="424" t="s">
        <v>313</v>
      </c>
      <c r="P6" s="440" t="s">
        <v>172</v>
      </c>
      <c r="Q6" s="423" t="s">
        <v>365</v>
      </c>
      <c r="R6" s="51" t="s">
        <v>359</v>
      </c>
      <c r="S6" s="439" t="s">
        <v>366</v>
      </c>
      <c r="T6" s="51" t="s">
        <v>367</v>
      </c>
      <c r="U6" s="424" t="s">
        <v>313</v>
      </c>
      <c r="V6" s="440" t="s">
        <v>172</v>
      </c>
      <c r="W6" s="430" t="s">
        <v>365</v>
      </c>
      <c r="X6" s="51" t="s">
        <v>359</v>
      </c>
      <c r="Y6" s="439" t="s">
        <v>366</v>
      </c>
      <c r="Z6" s="51" t="s">
        <v>367</v>
      </c>
      <c r="AA6" s="424" t="s">
        <v>313</v>
      </c>
      <c r="AB6" s="440" t="s">
        <v>172</v>
      </c>
      <c r="AC6" s="440" t="s">
        <v>365</v>
      </c>
      <c r="AD6" s="430" t="s">
        <v>359</v>
      </c>
      <c r="AE6" s="443" t="s">
        <v>366</v>
      </c>
      <c r="AF6" s="430" t="s">
        <v>367</v>
      </c>
      <c r="AG6" s="51" t="s">
        <v>313</v>
      </c>
      <c r="AH6" s="458" t="s">
        <v>315</v>
      </c>
      <c r="AI6" s="458" t="s">
        <v>387</v>
      </c>
      <c r="AJ6" s="494" t="s">
        <v>358</v>
      </c>
      <c r="AK6" s="173" t="s">
        <v>302</v>
      </c>
      <c r="AL6" s="496" t="s">
        <v>210</v>
      </c>
      <c r="AM6" s="496" t="s">
        <v>306</v>
      </c>
      <c r="AN6" s="180" t="s">
        <v>153</v>
      </c>
      <c r="AO6" s="173" t="s">
        <v>301</v>
      </c>
      <c r="AP6" s="173" t="s">
        <v>300</v>
      </c>
      <c r="AQ6" s="300" t="s">
        <v>151</v>
      </c>
      <c r="AR6" s="300" t="s">
        <v>156</v>
      </c>
      <c r="AS6" s="300" t="s">
        <v>157</v>
      </c>
      <c r="AT6" s="299" t="s">
        <v>151</v>
      </c>
      <c r="AU6" s="265" t="s">
        <v>151</v>
      </c>
    </row>
    <row r="7" spans="1:47" ht="12.75">
      <c r="A7" s="44">
        <v>1</v>
      </c>
      <c r="B7" s="306">
        <f>D2</f>
        <v>0.017</v>
      </c>
      <c r="C7" s="182">
        <f>'Test de compensation'!D92</f>
        <v>51655.76246460367</v>
      </c>
      <c r="D7" s="43">
        <f>'Test de compensation'!D95</f>
        <v>41558.76</v>
      </c>
      <c r="E7" s="43">
        <f>-(C7+D7)*E2</f>
        <v>-2796.43567393811</v>
      </c>
      <c r="F7" s="225">
        <f>'Test de compensation'!D107</f>
        <v>212856</v>
      </c>
      <c r="G7" s="225">
        <f>'Test de compensation'!D108*-1</f>
        <v>-85142.40000000001</v>
      </c>
      <c r="H7" s="43">
        <f>'Test de compensation'!D109</f>
        <v>1200</v>
      </c>
      <c r="I7" s="141">
        <f>SUM(C7:H7)</f>
        <v>219331.68679066555</v>
      </c>
      <c r="J7" s="525">
        <f>A7</f>
        <v>1</v>
      </c>
      <c r="K7" s="529">
        <f>'Test de compensation'!F125</f>
        <v>0.031</v>
      </c>
      <c r="L7" s="43">
        <f>PMT('Test de compensation'!F125,'Test de compensation'!G125,-'Test de compensation'!D125)</f>
        <v>170725.62845735907</v>
      </c>
      <c r="M7" s="47">
        <f>'Test de compensation'!D125*'Test de compensation'!F125</f>
        <v>78015.87750999999</v>
      </c>
      <c r="N7" s="43">
        <f aca="true" t="shared" si="0" ref="N7:N32">L7-M7</f>
        <v>92709.75094735908</v>
      </c>
      <c r="O7" s="428">
        <f>'Test de compensation'!D125-'Calculs détaillés'!N7</f>
        <v>2423931.459052641</v>
      </c>
      <c r="P7" s="525">
        <f>J7</f>
        <v>1</v>
      </c>
      <c r="Q7" s="137">
        <f>'Test de compensation'!F126</f>
        <v>0.022</v>
      </c>
      <c r="R7" s="43">
        <f>PMT('Test de compensation'!F126,'Test de compensation'!G126,-'Test de compensation'!D126)</f>
        <v>21830.271001803874</v>
      </c>
      <c r="S7" s="47">
        <f>'Test de compensation'!D126*'Test de compensation'!F126</f>
        <v>6079.72222</v>
      </c>
      <c r="T7" s="43">
        <f aca="true" t="shared" si="1" ref="T7:T31">R7-S7</f>
        <v>15750.548781803875</v>
      </c>
      <c r="U7" s="378">
        <f>'Test de compensation'!D126-'Calculs détaillés'!T7</f>
        <v>260600.46121819614</v>
      </c>
      <c r="V7" s="525">
        <f>P7</f>
        <v>1</v>
      </c>
      <c r="W7" s="137">
        <f>'Test de compensation'!F127</f>
        <v>0.04</v>
      </c>
      <c r="X7" s="43">
        <f>PMT('Test de compensation'!F127,'Test de compensation'!G127,-'Test de compensation'!D127)</f>
        <v>11102.842094065038</v>
      </c>
      <c r="Y7" s="47">
        <f>'Test de compensation'!D127*'Calculs détaillés'!W7</f>
        <v>4937.828</v>
      </c>
      <c r="Z7" s="43">
        <f aca="true" t="shared" si="2" ref="Z7:Z31">X7-Y7</f>
        <v>6165.014094065037</v>
      </c>
      <c r="AA7" s="378">
        <f>'Test de compensation'!D127-'Calculs détaillés'!Z7</f>
        <v>117280.68590593497</v>
      </c>
      <c r="AB7" s="525">
        <f>V7</f>
        <v>1</v>
      </c>
      <c r="AC7" s="400">
        <f>'Test de compensation'!F128</f>
        <v>0.04</v>
      </c>
      <c r="AD7" s="43">
        <f>PMT('Test de compensation'!F128,'Test de compensation'!G128,-'Test de compensation'!D128)</f>
        <v>0</v>
      </c>
      <c r="AE7" s="47">
        <f>'Test de compensation'!D128*'Calculs détaillés'!AC7</f>
        <v>0</v>
      </c>
      <c r="AF7" s="43">
        <f aca="true" t="shared" si="3" ref="AF7:AF31">AD7-AE7</f>
        <v>0</v>
      </c>
      <c r="AG7" s="43">
        <f>'Test de compensation'!D128-'Calculs détaillés'!AF7</f>
        <v>0</v>
      </c>
      <c r="AH7" s="147">
        <f aca="true" t="shared" si="4" ref="AH7:AH31">L7+R7+X7+AD7</f>
        <v>203658.74155322797</v>
      </c>
      <c r="AI7" s="140">
        <f>AE7+Y7+M7+S7</f>
        <v>89033.42772999998</v>
      </c>
      <c r="AJ7" s="281">
        <f>'Test de compensation'!D162</f>
        <v>58328.7584</v>
      </c>
      <c r="AK7" s="283">
        <f>'Test de compensation'!D79</f>
        <v>6302642.68</v>
      </c>
      <c r="AL7" s="411" t="s">
        <v>151</v>
      </c>
      <c r="AM7" s="412" t="s">
        <v>151</v>
      </c>
      <c r="AN7" s="298">
        <f>'Test de compensation'!D122</f>
        <v>3207862.04</v>
      </c>
      <c r="AO7" s="210">
        <f>'Test de compensation'!C182</f>
        <v>0</v>
      </c>
      <c r="AP7" s="210">
        <v>0</v>
      </c>
      <c r="AQ7" s="139">
        <f>AN7+AO7+AP7</f>
        <v>3207862.04</v>
      </c>
      <c r="AR7" s="303">
        <f>PMT('Test de compensation'!D147,'Test de compensation'!G125,-'Test de compensation'!D123)</f>
        <v>11712.075063393575</v>
      </c>
      <c r="AS7" s="303" t="s">
        <v>151</v>
      </c>
      <c r="AT7" s="147" t="s">
        <v>151</v>
      </c>
      <c r="AU7" s="43" t="s">
        <v>151</v>
      </c>
    </row>
    <row r="8" spans="1:47" ht="12.75">
      <c r="A8" s="44">
        <v>2</v>
      </c>
      <c r="B8" s="306">
        <f aca="true" t="shared" si="5" ref="B8:B26">B7</f>
        <v>0.017</v>
      </c>
      <c r="C8" s="182">
        <f>C7+(C7*D2)</f>
        <v>52533.910426501934</v>
      </c>
      <c r="D8" s="43">
        <f>IF(A8&gt;'Test de compensation'!$D$146,0,'Calculs détaillés'!D7)</f>
        <v>41558.76</v>
      </c>
      <c r="E8" s="43">
        <f>-(C8+D8)*E2</f>
        <v>-2822.780112795058</v>
      </c>
      <c r="F8" s="225">
        <v>0</v>
      </c>
      <c r="G8" s="225">
        <v>0</v>
      </c>
      <c r="H8" s="43">
        <f>H7+(H7*B8)</f>
        <v>1220.4</v>
      </c>
      <c r="I8" s="141">
        <f aca="true" t="shared" si="6" ref="I8:I31">SUM(C8:H8)</f>
        <v>92490.29031370688</v>
      </c>
      <c r="J8" s="525">
        <f aca="true" t="shared" si="7" ref="J8:J31">A8</f>
        <v>2</v>
      </c>
      <c r="K8" s="400">
        <f aca="true" t="shared" si="8" ref="K8:K31">K7</f>
        <v>0.031</v>
      </c>
      <c r="L8" s="43">
        <f>IF(A8&gt;'Test de compensation'!$G$125,0,'Calculs détaillés'!L7)</f>
        <v>170725.62845735907</v>
      </c>
      <c r="M8" s="47">
        <f aca="true" t="shared" si="9" ref="M8:M31">O7*K7</f>
        <v>75141.87523063186</v>
      </c>
      <c r="N8" s="43">
        <f t="shared" si="0"/>
        <v>95583.7532267272</v>
      </c>
      <c r="O8" s="378">
        <f aca="true" t="shared" si="10" ref="O8:O31">O7-N8</f>
        <v>2328347.7058259137</v>
      </c>
      <c r="P8" s="525">
        <f aca="true" t="shared" si="11" ref="P8:P31">J8</f>
        <v>2</v>
      </c>
      <c r="Q8" s="137">
        <f>Q7</f>
        <v>0.022</v>
      </c>
      <c r="R8" s="43">
        <f>IF(P8&gt;'Test de compensation'!$G$126,0,'Calculs détaillés'!R7)</f>
        <v>21830.271001803874</v>
      </c>
      <c r="S8" s="47">
        <f>U7*Q7</f>
        <v>5733.210146800315</v>
      </c>
      <c r="T8" s="43">
        <f t="shared" si="1"/>
        <v>16097.06085500356</v>
      </c>
      <c r="U8" s="378">
        <f aca="true" t="shared" si="12" ref="U8:U31">U7-T8</f>
        <v>244503.40036319257</v>
      </c>
      <c r="V8" s="525">
        <f aca="true" t="shared" si="13" ref="V8:V31">P8</f>
        <v>2</v>
      </c>
      <c r="W8" s="137">
        <f>W7</f>
        <v>0.04</v>
      </c>
      <c r="X8" s="43">
        <f>IF(V8&gt;'Test de compensation'!$G$127,0,'Calculs détaillés'!X7)</f>
        <v>11102.842094065038</v>
      </c>
      <c r="Y8" s="47">
        <f aca="true" t="shared" si="14" ref="Y8:Y31">AA7*W8</f>
        <v>4691.227436237399</v>
      </c>
      <c r="Z8" s="43">
        <f t="shared" si="2"/>
        <v>6411.614657827638</v>
      </c>
      <c r="AA8" s="378">
        <f aca="true" t="shared" si="15" ref="AA8:AA31">AA7-Z8</f>
        <v>110869.07124810733</v>
      </c>
      <c r="AB8" s="525">
        <f aca="true" t="shared" si="16" ref="AB8:AB31">V8</f>
        <v>2</v>
      </c>
      <c r="AC8" s="400">
        <f>AC7</f>
        <v>0.04</v>
      </c>
      <c r="AD8" s="43">
        <f>IF(AB8&gt;'Test de compensation'!$G$128,0,'Calculs détaillés'!AD7)</f>
        <v>0</v>
      </c>
      <c r="AE8" s="47">
        <f aca="true" t="shared" si="17" ref="AE8:AE31">AG7*AC8</f>
        <v>0</v>
      </c>
      <c r="AF8" s="43">
        <f t="shared" si="3"/>
        <v>0</v>
      </c>
      <c r="AG8" s="43">
        <f aca="true" t="shared" si="18" ref="AG8:AG31">AG7-AF8</f>
        <v>0</v>
      </c>
      <c r="AH8" s="147">
        <f t="shared" si="4"/>
        <v>203658.74155322797</v>
      </c>
      <c r="AI8" s="140">
        <f aca="true" t="shared" si="19" ref="AI8:AI31">AE8+Y8+M8+S8</f>
        <v>85566.31281366957</v>
      </c>
      <c r="AJ8" s="282">
        <v>0</v>
      </c>
      <c r="AK8" s="284">
        <v>0</v>
      </c>
      <c r="AL8" s="210" t="s">
        <v>151</v>
      </c>
      <c r="AM8" s="141" t="s">
        <v>151</v>
      </c>
      <c r="AN8" s="298">
        <v>0</v>
      </c>
      <c r="AO8" s="255">
        <v>0</v>
      </c>
      <c r="AP8" s="210">
        <f>'Test de compensation'!D104</f>
        <v>1575660.67</v>
      </c>
      <c r="AQ8" s="139">
        <f>AN8+AO29+AP8</f>
        <v>1575660.67</v>
      </c>
      <c r="AR8" s="303">
        <f>IF(A8&gt;'Test de compensation'!$G$125,0,'Calculs détaillés'!AR7)</f>
        <v>11712.075063393575</v>
      </c>
      <c r="AS8" s="303" t="s">
        <v>151</v>
      </c>
      <c r="AT8" s="147" t="s">
        <v>151</v>
      </c>
      <c r="AU8" s="43" t="s">
        <v>151</v>
      </c>
    </row>
    <row r="9" spans="1:47" ht="12.75">
      <c r="A9" s="44">
        <v>3</v>
      </c>
      <c r="B9" s="306">
        <f t="shared" si="5"/>
        <v>0.017</v>
      </c>
      <c r="C9" s="182">
        <f>IF(A9&gt;'Test de compensation'!$G$125,0,C8+(C8*B8))</f>
        <v>53426.98690375247</v>
      </c>
      <c r="D9" s="43">
        <f>IF(A9&gt;'Test de compensation'!$D$146,0,'Calculs détaillés'!D8)</f>
        <v>41558.76</v>
      </c>
      <c r="E9" s="43">
        <f>-(C9+D9)*E2</f>
        <v>-2849.572407112574</v>
      </c>
      <c r="F9" s="225">
        <v>0</v>
      </c>
      <c r="G9" s="225">
        <v>0</v>
      </c>
      <c r="H9" s="43">
        <f>IF(A9&gt;'Test de compensation'!$D$146,0,H8+H8*B8)</f>
        <v>1241.1468</v>
      </c>
      <c r="I9" s="141">
        <f t="shared" si="6"/>
        <v>93377.3212966399</v>
      </c>
      <c r="J9" s="525">
        <f t="shared" si="7"/>
        <v>3</v>
      </c>
      <c r="K9" s="400">
        <f t="shared" si="8"/>
        <v>0.031</v>
      </c>
      <c r="L9" s="43">
        <f>IF(A9&gt;'Test de compensation'!$G$125,0,'Calculs détaillés'!L8)</f>
        <v>170725.62845735907</v>
      </c>
      <c r="M9" s="47">
        <f t="shared" si="9"/>
        <v>72178.77888060332</v>
      </c>
      <c r="N9" s="43">
        <f t="shared" si="0"/>
        <v>98546.84957675575</v>
      </c>
      <c r="O9" s="378">
        <f t="shared" si="10"/>
        <v>2229800.856249158</v>
      </c>
      <c r="P9" s="525">
        <f t="shared" si="11"/>
        <v>3</v>
      </c>
      <c r="Q9" s="137">
        <f aca="true" t="shared" si="20" ref="Q9:Q26">Q8</f>
        <v>0.022</v>
      </c>
      <c r="R9" s="43">
        <f>IF(P9&gt;'Test de compensation'!$G$126,0,'Calculs détaillés'!R8)</f>
        <v>21830.271001803874</v>
      </c>
      <c r="S9" s="47">
        <f aca="true" t="shared" si="21" ref="S9:S31">U8*Q8</f>
        <v>5379.074807990236</v>
      </c>
      <c r="T9" s="43">
        <f t="shared" si="1"/>
        <v>16451.196193813637</v>
      </c>
      <c r="U9" s="378">
        <f t="shared" si="12"/>
        <v>228052.20416937894</v>
      </c>
      <c r="V9" s="525">
        <f t="shared" si="13"/>
        <v>3</v>
      </c>
      <c r="W9" s="137">
        <f aca="true" t="shared" si="22" ref="W9:W26">W8</f>
        <v>0.04</v>
      </c>
      <c r="X9" s="43">
        <f>IF(V9&gt;'Test de compensation'!$G$127,0,'Calculs détaillés'!X8)</f>
        <v>11102.842094065038</v>
      </c>
      <c r="Y9" s="47">
        <f t="shared" si="14"/>
        <v>4434.762849924293</v>
      </c>
      <c r="Z9" s="43">
        <f t="shared" si="2"/>
        <v>6668.079244140745</v>
      </c>
      <c r="AA9" s="378">
        <f t="shared" si="15"/>
        <v>104200.99200396659</v>
      </c>
      <c r="AB9" s="525">
        <f t="shared" si="16"/>
        <v>3</v>
      </c>
      <c r="AC9" s="400">
        <f aca="true" t="shared" si="23" ref="AC9:AC26">AC8</f>
        <v>0.04</v>
      </c>
      <c r="AD9" s="43">
        <f>IF(AB9&gt;'Test de compensation'!$G$128,0,'Calculs détaillés'!AD8)</f>
        <v>0</v>
      </c>
      <c r="AE9" s="47">
        <f t="shared" si="17"/>
        <v>0</v>
      </c>
      <c r="AF9" s="43">
        <f t="shared" si="3"/>
        <v>0</v>
      </c>
      <c r="AG9" s="43">
        <f t="shared" si="18"/>
        <v>0</v>
      </c>
      <c r="AH9" s="147">
        <f t="shared" si="4"/>
        <v>203658.74155322797</v>
      </c>
      <c r="AI9" s="140">
        <f t="shared" si="19"/>
        <v>81992.61653851786</v>
      </c>
      <c r="AJ9" s="282">
        <v>0</v>
      </c>
      <c r="AK9" s="284">
        <v>0</v>
      </c>
      <c r="AL9" s="210" t="s">
        <v>151</v>
      </c>
      <c r="AM9" s="141" t="s">
        <v>151</v>
      </c>
      <c r="AN9" s="298">
        <v>0</v>
      </c>
      <c r="AO9" s="255">
        <v>0</v>
      </c>
      <c r="AP9" s="210">
        <v>0</v>
      </c>
      <c r="AQ9" s="139">
        <f aca="true" t="shared" si="24" ref="AQ9:AQ31">AN9+AO9+AP9</f>
        <v>0</v>
      </c>
      <c r="AR9" s="303">
        <f>IF(A9&gt;'Test de compensation'!$G$125,0,'Calculs détaillés'!AR8)</f>
        <v>11712.075063393575</v>
      </c>
      <c r="AS9" s="303" t="s">
        <v>151</v>
      </c>
      <c r="AT9" s="147" t="s">
        <v>151</v>
      </c>
      <c r="AU9" s="43" t="s">
        <v>151</v>
      </c>
    </row>
    <row r="10" spans="1:47" ht="12.75">
      <c r="A10" s="44">
        <v>4</v>
      </c>
      <c r="B10" s="306">
        <f t="shared" si="5"/>
        <v>0.017</v>
      </c>
      <c r="C10" s="182">
        <f>IF(A10&gt;'Test de compensation'!$G$125,0,C9+(C9*B9))</f>
        <v>54335.24568111626</v>
      </c>
      <c r="D10" s="43">
        <f>IF(A10&gt;'Test de compensation'!$D$146,0,'Calculs détaillés'!D9)</f>
        <v>41558.76</v>
      </c>
      <c r="E10" s="43">
        <f>-(C10+D10)*E2</f>
        <v>-2876.820170433488</v>
      </c>
      <c r="F10" s="225">
        <v>0</v>
      </c>
      <c r="G10" s="225">
        <v>0</v>
      </c>
      <c r="H10" s="43">
        <f>IF(A10&gt;'Test de compensation'!$D$146,0,H9+H9*B9)</f>
        <v>1262.2462956</v>
      </c>
      <c r="I10" s="141">
        <f t="shared" si="6"/>
        <v>94279.43180628277</v>
      </c>
      <c r="J10" s="525">
        <f t="shared" si="7"/>
        <v>4</v>
      </c>
      <c r="K10" s="400">
        <f t="shared" si="8"/>
        <v>0.031</v>
      </c>
      <c r="L10" s="43">
        <f>IF(A10&gt;'Test de compensation'!$G$125,0,'Calculs détaillés'!L9)</f>
        <v>170725.62845735907</v>
      </c>
      <c r="M10" s="47">
        <f t="shared" si="9"/>
        <v>69123.82654372389</v>
      </c>
      <c r="N10" s="43">
        <f t="shared" si="0"/>
        <v>101601.80191363518</v>
      </c>
      <c r="O10" s="378">
        <f t="shared" si="10"/>
        <v>2128199.0543355225</v>
      </c>
      <c r="P10" s="525">
        <f t="shared" si="11"/>
        <v>4</v>
      </c>
      <c r="Q10" s="137">
        <f t="shared" si="20"/>
        <v>0.022</v>
      </c>
      <c r="R10" s="43">
        <f>IF(P10&gt;'Test de compensation'!$G$126,0,'Calculs détaillés'!R9)</f>
        <v>21830.271001803874</v>
      </c>
      <c r="S10" s="47">
        <f t="shared" si="21"/>
        <v>5017.148491726336</v>
      </c>
      <c r="T10" s="43">
        <f t="shared" si="1"/>
        <v>16813.122510077537</v>
      </c>
      <c r="U10" s="378">
        <f t="shared" si="12"/>
        <v>211239.0816593014</v>
      </c>
      <c r="V10" s="525">
        <f t="shared" si="13"/>
        <v>4</v>
      </c>
      <c r="W10" s="137">
        <f t="shared" si="22"/>
        <v>0.04</v>
      </c>
      <c r="X10" s="43">
        <f>IF(V10&gt;'Test de compensation'!$G$127,0,'Calculs détaillés'!X9)</f>
        <v>11102.842094065038</v>
      </c>
      <c r="Y10" s="47">
        <f t="shared" si="14"/>
        <v>4168.039680158664</v>
      </c>
      <c r="Z10" s="43">
        <f t="shared" si="2"/>
        <v>6934.802413906374</v>
      </c>
      <c r="AA10" s="378">
        <f t="shared" si="15"/>
        <v>97266.18959006021</v>
      </c>
      <c r="AB10" s="525">
        <f t="shared" si="16"/>
        <v>4</v>
      </c>
      <c r="AC10" s="400">
        <f t="shared" si="23"/>
        <v>0.04</v>
      </c>
      <c r="AD10" s="43">
        <f>IF(AB10&gt;'Test de compensation'!$G$128,0,'Calculs détaillés'!AD9)</f>
        <v>0</v>
      </c>
      <c r="AE10" s="47">
        <f t="shared" si="17"/>
        <v>0</v>
      </c>
      <c r="AF10" s="43">
        <f t="shared" si="3"/>
        <v>0</v>
      </c>
      <c r="AG10" s="43">
        <f t="shared" si="18"/>
        <v>0</v>
      </c>
      <c r="AH10" s="147">
        <f t="shared" si="4"/>
        <v>203658.74155322797</v>
      </c>
      <c r="AI10" s="140">
        <f t="shared" si="19"/>
        <v>78309.01471560888</v>
      </c>
      <c r="AJ10" s="282">
        <v>0</v>
      </c>
      <c r="AK10" s="284">
        <v>0</v>
      </c>
      <c r="AL10" s="210" t="s">
        <v>151</v>
      </c>
      <c r="AM10" s="141" t="s">
        <v>151</v>
      </c>
      <c r="AN10" s="298">
        <v>0</v>
      </c>
      <c r="AO10" s="255">
        <v>0</v>
      </c>
      <c r="AP10" s="210">
        <v>0</v>
      </c>
      <c r="AQ10" s="139">
        <f t="shared" si="24"/>
        <v>0</v>
      </c>
      <c r="AR10" s="303">
        <f>IF(A10&gt;'Test de compensation'!$G$125,0,'Calculs détaillés'!AR9)</f>
        <v>11712.075063393575</v>
      </c>
      <c r="AS10" s="303" t="s">
        <v>151</v>
      </c>
      <c r="AT10" s="147" t="s">
        <v>151</v>
      </c>
      <c r="AU10" s="43" t="s">
        <v>151</v>
      </c>
    </row>
    <row r="11" spans="1:47" ht="12.75">
      <c r="A11" s="44">
        <v>5</v>
      </c>
      <c r="B11" s="306">
        <f t="shared" si="5"/>
        <v>0.017</v>
      </c>
      <c r="C11" s="182">
        <f>IF(A11&gt;'Test de compensation'!$G$125,0,C10+(C10*B10))</f>
        <v>55258.94485769524</v>
      </c>
      <c r="D11" s="43">
        <f>IF(A11&gt;'Test de compensation'!$D$146,0,'Calculs détaillés'!D10)</f>
        <v>41558.76</v>
      </c>
      <c r="E11" s="43">
        <f>-(C11+D11)*E2</f>
        <v>-2904.531145730857</v>
      </c>
      <c r="F11" s="225">
        <v>0</v>
      </c>
      <c r="G11" s="225">
        <v>0</v>
      </c>
      <c r="H11" s="43">
        <f>IF(A11&gt;'Test de compensation'!$D$146,0,H10+H10*B10)</f>
        <v>1283.7044826252</v>
      </c>
      <c r="I11" s="141">
        <f t="shared" si="6"/>
        <v>95196.87819458958</v>
      </c>
      <c r="J11" s="525">
        <f t="shared" si="7"/>
        <v>5</v>
      </c>
      <c r="K11" s="400">
        <f t="shared" si="8"/>
        <v>0.031</v>
      </c>
      <c r="L11" s="43">
        <f>IF(A11&gt;'Test de compensation'!$G$125,0,'Calculs détaillés'!L10)</f>
        <v>170725.62845735907</v>
      </c>
      <c r="M11" s="47">
        <f t="shared" si="9"/>
        <v>65974.1706844012</v>
      </c>
      <c r="N11" s="43">
        <f t="shared" si="0"/>
        <v>104751.45777295787</v>
      </c>
      <c r="O11" s="378">
        <f t="shared" si="10"/>
        <v>2023447.5965625646</v>
      </c>
      <c r="P11" s="525">
        <f t="shared" si="11"/>
        <v>5</v>
      </c>
      <c r="Q11" s="137">
        <f t="shared" si="20"/>
        <v>0.022</v>
      </c>
      <c r="R11" s="43">
        <f>IF(P11&gt;'Test de compensation'!$G$126,0,'Calculs détaillés'!R10)</f>
        <v>21830.271001803874</v>
      </c>
      <c r="S11" s="47">
        <f t="shared" si="21"/>
        <v>4647.259796504631</v>
      </c>
      <c r="T11" s="43">
        <f t="shared" si="1"/>
        <v>17183.011205299244</v>
      </c>
      <c r="U11" s="378">
        <f t="shared" si="12"/>
        <v>194056.07045400215</v>
      </c>
      <c r="V11" s="525">
        <f t="shared" si="13"/>
        <v>5</v>
      </c>
      <c r="W11" s="137">
        <f t="shared" si="22"/>
        <v>0.04</v>
      </c>
      <c r="X11" s="43">
        <f>IF(V11&gt;'Test de compensation'!$G$127,0,'Calculs détaillés'!X10)</f>
        <v>11102.842094065038</v>
      </c>
      <c r="Y11" s="47">
        <f t="shared" si="14"/>
        <v>3890.6475836024083</v>
      </c>
      <c r="Z11" s="43">
        <f t="shared" si="2"/>
        <v>7212.194510462629</v>
      </c>
      <c r="AA11" s="378">
        <f t="shared" si="15"/>
        <v>90053.99507959757</v>
      </c>
      <c r="AB11" s="525">
        <f t="shared" si="16"/>
        <v>5</v>
      </c>
      <c r="AC11" s="400">
        <f t="shared" si="23"/>
        <v>0.04</v>
      </c>
      <c r="AD11" s="43">
        <f>IF(AB11&gt;'Test de compensation'!$G$128,0,'Calculs détaillés'!AD10)</f>
        <v>0</v>
      </c>
      <c r="AE11" s="47">
        <f t="shared" si="17"/>
        <v>0</v>
      </c>
      <c r="AF11" s="43">
        <f t="shared" si="3"/>
        <v>0</v>
      </c>
      <c r="AG11" s="43">
        <f t="shared" si="18"/>
        <v>0</v>
      </c>
      <c r="AH11" s="147">
        <f t="shared" si="4"/>
        <v>203658.74155322797</v>
      </c>
      <c r="AI11" s="140">
        <f t="shared" si="19"/>
        <v>74512.07806450823</v>
      </c>
      <c r="AJ11" s="282">
        <v>0</v>
      </c>
      <c r="AK11" s="284">
        <v>0</v>
      </c>
      <c r="AL11" s="210" t="s">
        <v>151</v>
      </c>
      <c r="AM11" s="141" t="s">
        <v>151</v>
      </c>
      <c r="AN11" s="298">
        <v>0</v>
      </c>
      <c r="AO11" s="255">
        <v>0</v>
      </c>
      <c r="AP11" s="210">
        <v>0</v>
      </c>
      <c r="AQ11" s="139">
        <f t="shared" si="24"/>
        <v>0</v>
      </c>
      <c r="AR11" s="303">
        <f>IF(A11&gt;'Test de compensation'!$G$125,0,'Calculs détaillés'!AR10)</f>
        <v>11712.075063393575</v>
      </c>
      <c r="AS11" s="303" t="s">
        <v>151</v>
      </c>
      <c r="AT11" s="147" t="s">
        <v>151</v>
      </c>
      <c r="AU11" s="43" t="s">
        <v>151</v>
      </c>
    </row>
    <row r="12" spans="1:47" ht="12.75">
      <c r="A12" s="44">
        <v>6</v>
      </c>
      <c r="B12" s="306">
        <f t="shared" si="5"/>
        <v>0.017</v>
      </c>
      <c r="C12" s="182">
        <f>IF(A12&gt;'Test de compensation'!$G$125,0,C11+(C11*B11))</f>
        <v>56198.34692027606</v>
      </c>
      <c r="D12" s="43">
        <f>IF(A12&gt;'Test de compensation'!$D$146,0,'Calculs détaillés'!D11)</f>
        <v>41558.76</v>
      </c>
      <c r="E12" s="43">
        <f>-(C12+D12)*E2</f>
        <v>-2932.713207608282</v>
      </c>
      <c r="F12" s="225">
        <v>0</v>
      </c>
      <c r="G12" s="225">
        <v>0</v>
      </c>
      <c r="H12" s="43">
        <f>IF(A12&gt;'Test de compensation'!$D$146,0,H11+H11*B11)</f>
        <v>1305.5274588298284</v>
      </c>
      <c r="I12" s="141">
        <f t="shared" si="6"/>
        <v>96129.92117149763</v>
      </c>
      <c r="J12" s="525">
        <f t="shared" si="7"/>
        <v>6</v>
      </c>
      <c r="K12" s="400">
        <f t="shared" si="8"/>
        <v>0.031</v>
      </c>
      <c r="L12" s="43">
        <f>IF(A12&gt;'Test de compensation'!$G$125,0,'Calculs détaillés'!L11)</f>
        <v>170725.62845735907</v>
      </c>
      <c r="M12" s="47">
        <f t="shared" si="9"/>
        <v>62726.875493439504</v>
      </c>
      <c r="N12" s="43">
        <f t="shared" si="0"/>
        <v>107998.75296391957</v>
      </c>
      <c r="O12" s="378">
        <f t="shared" si="10"/>
        <v>1915448.843598645</v>
      </c>
      <c r="P12" s="525">
        <f t="shared" si="11"/>
        <v>6</v>
      </c>
      <c r="Q12" s="137">
        <f t="shared" si="20"/>
        <v>0.022</v>
      </c>
      <c r="R12" s="43">
        <f>IF(P12&gt;'Test de compensation'!$G$126,0,'Calculs détaillés'!R11)</f>
        <v>21830.271001803874</v>
      </c>
      <c r="S12" s="47">
        <f t="shared" si="21"/>
        <v>4269.233549988047</v>
      </c>
      <c r="T12" s="43">
        <f t="shared" si="1"/>
        <v>17561.037451815828</v>
      </c>
      <c r="U12" s="378">
        <f t="shared" si="12"/>
        <v>176495.03300218633</v>
      </c>
      <c r="V12" s="525">
        <f t="shared" si="13"/>
        <v>6</v>
      </c>
      <c r="W12" s="137">
        <f t="shared" si="22"/>
        <v>0.04</v>
      </c>
      <c r="X12" s="43">
        <f>IF(V12&gt;'Test de compensation'!$G$127,0,'Calculs détaillés'!X11)</f>
        <v>11102.842094065038</v>
      </c>
      <c r="Y12" s="47">
        <f t="shared" si="14"/>
        <v>3602.159803183903</v>
      </c>
      <c r="Z12" s="43">
        <f t="shared" si="2"/>
        <v>7500.682290881135</v>
      </c>
      <c r="AA12" s="378">
        <f t="shared" si="15"/>
        <v>82553.31278871644</v>
      </c>
      <c r="AB12" s="525">
        <f t="shared" si="16"/>
        <v>6</v>
      </c>
      <c r="AC12" s="400">
        <f t="shared" si="23"/>
        <v>0.04</v>
      </c>
      <c r="AD12" s="43">
        <f>IF(AB12&gt;'Test de compensation'!$G$128,0,'Calculs détaillés'!AD11)</f>
        <v>0</v>
      </c>
      <c r="AE12" s="47">
        <f t="shared" si="17"/>
        <v>0</v>
      </c>
      <c r="AF12" s="43">
        <f t="shared" si="3"/>
        <v>0</v>
      </c>
      <c r="AG12" s="43">
        <f t="shared" si="18"/>
        <v>0</v>
      </c>
      <c r="AH12" s="147">
        <f t="shared" si="4"/>
        <v>203658.74155322797</v>
      </c>
      <c r="AI12" s="140">
        <f t="shared" si="19"/>
        <v>70598.26884661145</v>
      </c>
      <c r="AJ12" s="282">
        <v>0</v>
      </c>
      <c r="AK12" s="284">
        <v>0</v>
      </c>
      <c r="AL12" s="210" t="s">
        <v>151</v>
      </c>
      <c r="AM12" s="141" t="s">
        <v>151</v>
      </c>
      <c r="AN12" s="298">
        <v>0</v>
      </c>
      <c r="AO12" s="255">
        <v>0</v>
      </c>
      <c r="AP12" s="210">
        <v>0</v>
      </c>
      <c r="AQ12" s="139">
        <f t="shared" si="24"/>
        <v>0</v>
      </c>
      <c r="AR12" s="303">
        <f>IF(A12&gt;'Test de compensation'!$G$125,0,'Calculs détaillés'!AR11)</f>
        <v>11712.075063393575</v>
      </c>
      <c r="AS12" s="303" t="s">
        <v>151</v>
      </c>
      <c r="AT12" s="147" t="s">
        <v>151</v>
      </c>
      <c r="AU12" s="43" t="s">
        <v>151</v>
      </c>
    </row>
    <row r="13" spans="1:47" ht="12.75">
      <c r="A13" s="44">
        <v>7</v>
      </c>
      <c r="B13" s="306">
        <f t="shared" si="5"/>
        <v>0.017</v>
      </c>
      <c r="C13" s="182">
        <f>IF(A13&gt;'Test de compensation'!$G$125,0,C12+(C12*B12))</f>
        <v>57153.71881792075</v>
      </c>
      <c r="D13" s="43">
        <f>IF(A13&gt;'Test de compensation'!$D$146,0,'Calculs détaillés'!D12)</f>
        <v>41558.76</v>
      </c>
      <c r="E13" s="43">
        <f>-(C13+D13)*E2</f>
        <v>-2961.3743645376226</v>
      </c>
      <c r="F13" s="225">
        <v>0</v>
      </c>
      <c r="G13" s="225">
        <v>0</v>
      </c>
      <c r="H13" s="43">
        <f>IF(A13&gt;'Test de compensation'!$D$146,0,H12+H12*B12)</f>
        <v>1327.7214256299355</v>
      </c>
      <c r="I13" s="141">
        <f t="shared" si="6"/>
        <v>97078.82587901306</v>
      </c>
      <c r="J13" s="525">
        <f t="shared" si="7"/>
        <v>7</v>
      </c>
      <c r="K13" s="400">
        <f t="shared" si="8"/>
        <v>0.031</v>
      </c>
      <c r="L13" s="43">
        <f>IF(A13&gt;'Test de compensation'!$G$125,0,'Calculs détaillés'!L12)</f>
        <v>170725.62845735907</v>
      </c>
      <c r="M13" s="47">
        <f t="shared" si="9"/>
        <v>59378.91415155799</v>
      </c>
      <c r="N13" s="43">
        <f t="shared" si="0"/>
        <v>111346.71430580108</v>
      </c>
      <c r="O13" s="378">
        <f t="shared" si="10"/>
        <v>1804102.1292928439</v>
      </c>
      <c r="P13" s="525">
        <f t="shared" si="11"/>
        <v>7</v>
      </c>
      <c r="Q13" s="137">
        <f t="shared" si="20"/>
        <v>0.022</v>
      </c>
      <c r="R13" s="43">
        <f>IF(P13&gt;'Test de compensation'!$G$126,0,'Calculs détaillés'!R12)</f>
        <v>21830.271001803874</v>
      </c>
      <c r="S13" s="47">
        <f t="shared" si="21"/>
        <v>3882.890726048099</v>
      </c>
      <c r="T13" s="43">
        <f t="shared" si="1"/>
        <v>17947.380275755775</v>
      </c>
      <c r="U13" s="378">
        <f t="shared" si="12"/>
        <v>158547.65272643056</v>
      </c>
      <c r="V13" s="525">
        <f t="shared" si="13"/>
        <v>7</v>
      </c>
      <c r="W13" s="137">
        <f t="shared" si="22"/>
        <v>0.04</v>
      </c>
      <c r="X13" s="43">
        <f>IF(V13&gt;'Test de compensation'!$G$127,0,'Calculs détaillés'!X12)</f>
        <v>11102.842094065038</v>
      </c>
      <c r="Y13" s="47">
        <f t="shared" si="14"/>
        <v>3302.132511548658</v>
      </c>
      <c r="Z13" s="43">
        <f t="shared" si="2"/>
        <v>7800.70958251638</v>
      </c>
      <c r="AA13" s="378">
        <f t="shared" si="15"/>
        <v>74752.60320620006</v>
      </c>
      <c r="AB13" s="525">
        <f t="shared" si="16"/>
        <v>7</v>
      </c>
      <c r="AC13" s="400">
        <f t="shared" si="23"/>
        <v>0.04</v>
      </c>
      <c r="AD13" s="43">
        <f>IF(AB13&gt;'Test de compensation'!$G$128,0,'Calculs détaillés'!AD12)</f>
        <v>0</v>
      </c>
      <c r="AE13" s="47">
        <f t="shared" si="17"/>
        <v>0</v>
      </c>
      <c r="AF13" s="43">
        <f t="shared" si="3"/>
        <v>0</v>
      </c>
      <c r="AG13" s="43">
        <f t="shared" si="18"/>
        <v>0</v>
      </c>
      <c r="AH13" s="147">
        <f t="shared" si="4"/>
        <v>203658.74155322797</v>
      </c>
      <c r="AI13" s="140">
        <f t="shared" si="19"/>
        <v>66563.93738915474</v>
      </c>
      <c r="AJ13" s="282">
        <v>0</v>
      </c>
      <c r="AK13" s="284">
        <v>0</v>
      </c>
      <c r="AL13" s="210" t="s">
        <v>151</v>
      </c>
      <c r="AM13" s="141" t="s">
        <v>151</v>
      </c>
      <c r="AN13" s="298">
        <v>0</v>
      </c>
      <c r="AO13" s="255">
        <v>0</v>
      </c>
      <c r="AP13" s="210">
        <v>0</v>
      </c>
      <c r="AQ13" s="139">
        <f t="shared" si="24"/>
        <v>0</v>
      </c>
      <c r="AR13" s="303">
        <f>IF(A13&gt;'Test de compensation'!$G$125,0,'Calculs détaillés'!AR12)</f>
        <v>11712.075063393575</v>
      </c>
      <c r="AS13" s="303" t="s">
        <v>151</v>
      </c>
      <c r="AT13" s="147" t="s">
        <v>151</v>
      </c>
      <c r="AU13" s="43" t="s">
        <v>151</v>
      </c>
    </row>
    <row r="14" spans="1:47" ht="12.75">
      <c r="A14" s="44">
        <v>8</v>
      </c>
      <c r="B14" s="306">
        <f t="shared" si="5"/>
        <v>0.017</v>
      </c>
      <c r="C14" s="182">
        <f>IF(A14&gt;'Test de compensation'!$G$125,0,C13+(C13*B13))</f>
        <v>58125.33203782541</v>
      </c>
      <c r="D14" s="43">
        <f>IF(A14&gt;'Test de compensation'!$D$146,0,'Calculs détaillés'!D13)</f>
        <v>41558.76</v>
      </c>
      <c r="E14" s="43">
        <f>-(C14+D14)*E2</f>
        <v>-2990.5227611347623</v>
      </c>
      <c r="F14" s="225">
        <v>0</v>
      </c>
      <c r="G14" s="225">
        <v>0</v>
      </c>
      <c r="H14" s="43">
        <f>IF(A14&gt;'Test de compensation'!$D$146,0,H13+H13*B13)</f>
        <v>1350.2926898656444</v>
      </c>
      <c r="I14" s="141">
        <f t="shared" si="6"/>
        <v>98043.86196655629</v>
      </c>
      <c r="J14" s="525">
        <f t="shared" si="7"/>
        <v>8</v>
      </c>
      <c r="K14" s="400">
        <f t="shared" si="8"/>
        <v>0.031</v>
      </c>
      <c r="L14" s="43">
        <f>IF(A14&gt;'Test de compensation'!$G$125,0,'Calculs détaillés'!L13)</f>
        <v>170725.62845735907</v>
      </c>
      <c r="M14" s="47">
        <f t="shared" si="9"/>
        <v>55927.16600807816</v>
      </c>
      <c r="N14" s="43">
        <f t="shared" si="0"/>
        <v>114798.46244928091</v>
      </c>
      <c r="O14" s="378">
        <f t="shared" si="10"/>
        <v>1689303.6668435629</v>
      </c>
      <c r="P14" s="525">
        <f t="shared" si="11"/>
        <v>8</v>
      </c>
      <c r="Q14" s="137">
        <f t="shared" si="20"/>
        <v>0.022</v>
      </c>
      <c r="R14" s="43">
        <f>IF(P14&gt;'Test de compensation'!$G$126,0,'Calculs détaillés'!R13)</f>
        <v>21830.271001803874</v>
      </c>
      <c r="S14" s="47">
        <f t="shared" si="21"/>
        <v>3488.048359981472</v>
      </c>
      <c r="T14" s="43">
        <f t="shared" si="1"/>
        <v>18342.2226418224</v>
      </c>
      <c r="U14" s="378">
        <f t="shared" si="12"/>
        <v>140205.43008460815</v>
      </c>
      <c r="V14" s="525">
        <f t="shared" si="13"/>
        <v>8</v>
      </c>
      <c r="W14" s="137">
        <f t="shared" si="22"/>
        <v>0.04</v>
      </c>
      <c r="X14" s="43">
        <f>IF(V14&gt;'Test de compensation'!$G$127,0,'Calculs détaillés'!X13)</f>
        <v>11102.842094065038</v>
      </c>
      <c r="Y14" s="47">
        <f t="shared" si="14"/>
        <v>2990.1041282480023</v>
      </c>
      <c r="Z14" s="43">
        <f t="shared" si="2"/>
        <v>8112.737965817036</v>
      </c>
      <c r="AA14" s="378">
        <f t="shared" si="15"/>
        <v>66639.86524038302</v>
      </c>
      <c r="AB14" s="525">
        <f t="shared" si="16"/>
        <v>8</v>
      </c>
      <c r="AC14" s="400">
        <f t="shared" si="23"/>
        <v>0.04</v>
      </c>
      <c r="AD14" s="43">
        <f>IF(AB14&gt;'Test de compensation'!$G$128,0,'Calculs détaillés'!AD13)</f>
        <v>0</v>
      </c>
      <c r="AE14" s="47">
        <f t="shared" si="17"/>
        <v>0</v>
      </c>
      <c r="AF14" s="43">
        <f t="shared" si="3"/>
        <v>0</v>
      </c>
      <c r="AG14" s="43">
        <f t="shared" si="18"/>
        <v>0</v>
      </c>
      <c r="AH14" s="147">
        <f t="shared" si="4"/>
        <v>203658.74155322797</v>
      </c>
      <c r="AI14" s="140">
        <f t="shared" si="19"/>
        <v>62405.31849630763</v>
      </c>
      <c r="AJ14" s="282">
        <v>0</v>
      </c>
      <c r="AK14" s="284">
        <v>0</v>
      </c>
      <c r="AL14" s="210" t="s">
        <v>151</v>
      </c>
      <c r="AM14" s="141" t="s">
        <v>151</v>
      </c>
      <c r="AN14" s="298">
        <v>0</v>
      </c>
      <c r="AO14" s="255">
        <v>0</v>
      </c>
      <c r="AP14" s="210">
        <v>0</v>
      </c>
      <c r="AQ14" s="139">
        <f t="shared" si="24"/>
        <v>0</v>
      </c>
      <c r="AR14" s="303">
        <f>IF(A14&gt;'Test de compensation'!$G$125,0,'Calculs détaillés'!AR13)</f>
        <v>11712.075063393575</v>
      </c>
      <c r="AS14" s="303" t="s">
        <v>151</v>
      </c>
      <c r="AT14" s="147" t="s">
        <v>151</v>
      </c>
      <c r="AU14" s="43" t="s">
        <v>151</v>
      </c>
    </row>
    <row r="15" spans="1:47" ht="12.75">
      <c r="A15" s="44">
        <v>9</v>
      </c>
      <c r="B15" s="306">
        <f t="shared" si="5"/>
        <v>0.017</v>
      </c>
      <c r="C15" s="182">
        <f>IF(A15&gt;'Test de compensation'!$G$125,0,C14+(C14*B14))</f>
        <v>59113.46268246844</v>
      </c>
      <c r="D15" s="43">
        <f>IF(A15&gt;'Test de compensation'!$D$146,0,'Calculs détaillés'!D14)</f>
        <v>41558.76</v>
      </c>
      <c r="E15" s="43">
        <f>-(C15+D15)*E2</f>
        <v>-3020.1666804740535</v>
      </c>
      <c r="F15" s="225">
        <v>0</v>
      </c>
      <c r="G15" s="225">
        <v>0</v>
      </c>
      <c r="H15" s="43">
        <f>IF(A15&gt;'Test de compensation'!$D$146,0,H14+H14*B14)</f>
        <v>1373.2476655933604</v>
      </c>
      <c r="I15" s="141">
        <f t="shared" si="6"/>
        <v>99025.30366758775</v>
      </c>
      <c r="J15" s="525">
        <f t="shared" si="7"/>
        <v>9</v>
      </c>
      <c r="K15" s="400">
        <f t="shared" si="8"/>
        <v>0.031</v>
      </c>
      <c r="L15" s="43">
        <f>IF(A15&gt;'Test de compensation'!$G$125,0,'Calculs détaillés'!L14)</f>
        <v>170725.62845735907</v>
      </c>
      <c r="M15" s="47">
        <f t="shared" si="9"/>
        <v>52368.41367215045</v>
      </c>
      <c r="N15" s="43">
        <f t="shared" si="0"/>
        <v>118357.21478520862</v>
      </c>
      <c r="O15" s="378">
        <f t="shared" si="10"/>
        <v>1570946.4520583542</v>
      </c>
      <c r="P15" s="525">
        <f t="shared" si="11"/>
        <v>9</v>
      </c>
      <c r="Q15" s="137">
        <f t="shared" si="20"/>
        <v>0.022</v>
      </c>
      <c r="R15" s="43">
        <f>IF(P15&gt;'Test de compensation'!$G$126,0,'Calculs détaillés'!R14)</f>
        <v>21830.271001803874</v>
      </c>
      <c r="S15" s="47">
        <f t="shared" si="21"/>
        <v>3084.519461861379</v>
      </c>
      <c r="T15" s="43">
        <f t="shared" si="1"/>
        <v>18745.751539942496</v>
      </c>
      <c r="U15" s="378">
        <f t="shared" si="12"/>
        <v>121459.67854466566</v>
      </c>
      <c r="V15" s="525">
        <f t="shared" si="13"/>
        <v>9</v>
      </c>
      <c r="W15" s="137">
        <f t="shared" si="22"/>
        <v>0.04</v>
      </c>
      <c r="X15" s="43">
        <f>IF(V15&gt;'Test de compensation'!$G$127,0,'Calculs détaillés'!X14)</f>
        <v>11102.842094065038</v>
      </c>
      <c r="Y15" s="47">
        <f t="shared" si="14"/>
        <v>2665.5946096153207</v>
      </c>
      <c r="Z15" s="43">
        <f t="shared" si="2"/>
        <v>8437.247484449717</v>
      </c>
      <c r="AA15" s="378">
        <f t="shared" si="15"/>
        <v>58202.6177559333</v>
      </c>
      <c r="AB15" s="525">
        <f t="shared" si="16"/>
        <v>9</v>
      </c>
      <c r="AC15" s="400">
        <f t="shared" si="23"/>
        <v>0.04</v>
      </c>
      <c r="AD15" s="43">
        <f>IF(AB15&gt;'Test de compensation'!$G$128,0,'Calculs détaillés'!AD14)</f>
        <v>0</v>
      </c>
      <c r="AE15" s="47">
        <f t="shared" si="17"/>
        <v>0</v>
      </c>
      <c r="AF15" s="43">
        <f t="shared" si="3"/>
        <v>0</v>
      </c>
      <c r="AG15" s="43">
        <f t="shared" si="18"/>
        <v>0</v>
      </c>
      <c r="AH15" s="147">
        <f t="shared" si="4"/>
        <v>203658.74155322797</v>
      </c>
      <c r="AI15" s="140">
        <f t="shared" si="19"/>
        <v>58118.52774362715</v>
      </c>
      <c r="AJ15" s="282">
        <v>0</v>
      </c>
      <c r="AK15" s="284">
        <v>0</v>
      </c>
      <c r="AL15" s="210" t="s">
        <v>151</v>
      </c>
      <c r="AM15" s="141" t="s">
        <v>151</v>
      </c>
      <c r="AN15" s="298">
        <v>0</v>
      </c>
      <c r="AO15" s="255">
        <v>0</v>
      </c>
      <c r="AP15" s="210">
        <v>0</v>
      </c>
      <c r="AQ15" s="139">
        <f t="shared" si="24"/>
        <v>0</v>
      </c>
      <c r="AR15" s="303">
        <f>IF(A15&gt;'Test de compensation'!$G$125,0,'Calculs détaillés'!AR14)</f>
        <v>11712.075063393575</v>
      </c>
      <c r="AS15" s="303" t="s">
        <v>151</v>
      </c>
      <c r="AT15" s="147" t="s">
        <v>151</v>
      </c>
      <c r="AU15" s="43" t="s">
        <v>151</v>
      </c>
    </row>
    <row r="16" spans="1:47" ht="12.75">
      <c r="A16" s="44">
        <v>10</v>
      </c>
      <c r="B16" s="306">
        <f t="shared" si="5"/>
        <v>0.017</v>
      </c>
      <c r="C16" s="182">
        <f>IF(A16&gt;'Test de compensation'!$G$125,0,C15+(C15*B15))</f>
        <v>60118.3915480704</v>
      </c>
      <c r="D16" s="43">
        <f>IF(A16&gt;'Test de compensation'!$D$146,0,'Calculs détaillés'!D15)</f>
        <v>41558.76</v>
      </c>
      <c r="E16" s="43">
        <f>-(C16+D16)*E2</f>
        <v>-3050.314546442112</v>
      </c>
      <c r="F16" s="225">
        <v>0</v>
      </c>
      <c r="G16" s="225">
        <v>0</v>
      </c>
      <c r="H16" s="43">
        <f>IF(A16&gt;'Test de compensation'!$D$146,0,H15+H15*B15)</f>
        <v>1396.5928759084475</v>
      </c>
      <c r="I16" s="141">
        <f t="shared" si="6"/>
        <v>100023.42987753674</v>
      </c>
      <c r="J16" s="525">
        <f t="shared" si="7"/>
        <v>10</v>
      </c>
      <c r="K16" s="400">
        <f t="shared" si="8"/>
        <v>0.031</v>
      </c>
      <c r="L16" s="43">
        <f>IF(A16&gt;'Test de compensation'!$G$125,0,'Calculs détaillés'!L15)</f>
        <v>170725.62845735907</v>
      </c>
      <c r="M16" s="47">
        <f t="shared" si="9"/>
        <v>48699.34001380898</v>
      </c>
      <c r="N16" s="43">
        <f t="shared" si="0"/>
        <v>122026.28844355009</v>
      </c>
      <c r="O16" s="378">
        <f t="shared" si="10"/>
        <v>1448920.1636148042</v>
      </c>
      <c r="P16" s="525">
        <f t="shared" si="11"/>
        <v>10</v>
      </c>
      <c r="Q16" s="137">
        <f t="shared" si="20"/>
        <v>0.022</v>
      </c>
      <c r="R16" s="43">
        <f>IF(P16&gt;'Test de compensation'!$G$126,0,'Calculs détaillés'!R15)</f>
        <v>21830.271001803874</v>
      </c>
      <c r="S16" s="47">
        <f t="shared" si="21"/>
        <v>2672.112927982644</v>
      </c>
      <c r="T16" s="43">
        <f t="shared" si="1"/>
        <v>19158.15807382123</v>
      </c>
      <c r="U16" s="378">
        <f t="shared" si="12"/>
        <v>102301.52047084444</v>
      </c>
      <c r="V16" s="525">
        <f t="shared" si="13"/>
        <v>10</v>
      </c>
      <c r="W16" s="137">
        <f t="shared" si="22"/>
        <v>0.04</v>
      </c>
      <c r="X16" s="43">
        <f>IF(V16&gt;'Test de compensation'!$G$127,0,'Calculs détaillés'!X15)</f>
        <v>11102.842094065038</v>
      </c>
      <c r="Y16" s="47">
        <f t="shared" si="14"/>
        <v>2328.1047102373323</v>
      </c>
      <c r="Z16" s="43">
        <f t="shared" si="2"/>
        <v>8774.737383827705</v>
      </c>
      <c r="AA16" s="378">
        <f t="shared" si="15"/>
        <v>49427.880372105596</v>
      </c>
      <c r="AB16" s="525">
        <f t="shared" si="16"/>
        <v>10</v>
      </c>
      <c r="AC16" s="400">
        <f t="shared" si="23"/>
        <v>0.04</v>
      </c>
      <c r="AD16" s="43">
        <f>IF(AB16&gt;'Test de compensation'!$G$128,0,'Calculs détaillés'!AD15)</f>
        <v>0</v>
      </c>
      <c r="AE16" s="47">
        <f t="shared" si="17"/>
        <v>0</v>
      </c>
      <c r="AF16" s="43">
        <f t="shared" si="3"/>
        <v>0</v>
      </c>
      <c r="AG16" s="43">
        <f t="shared" si="18"/>
        <v>0</v>
      </c>
      <c r="AH16" s="147">
        <f t="shared" si="4"/>
        <v>203658.74155322797</v>
      </c>
      <c r="AI16" s="140">
        <f t="shared" si="19"/>
        <v>53699.557652028954</v>
      </c>
      <c r="AJ16" s="282">
        <v>0</v>
      </c>
      <c r="AK16" s="284">
        <v>0</v>
      </c>
      <c r="AL16" s="210" t="s">
        <v>151</v>
      </c>
      <c r="AM16" s="141" t="s">
        <v>151</v>
      </c>
      <c r="AN16" s="298">
        <v>0</v>
      </c>
      <c r="AO16" s="255">
        <v>0</v>
      </c>
      <c r="AP16" s="210">
        <v>0</v>
      </c>
      <c r="AQ16" s="139">
        <f t="shared" si="24"/>
        <v>0</v>
      </c>
      <c r="AR16" s="303">
        <f>IF(A16&gt;'Test de compensation'!$G$125,0,'Calculs détaillés'!AR15)</f>
        <v>11712.075063393575</v>
      </c>
      <c r="AS16" s="303" t="s">
        <v>151</v>
      </c>
      <c r="AT16" s="147" t="s">
        <v>151</v>
      </c>
      <c r="AU16" s="43" t="s">
        <v>151</v>
      </c>
    </row>
    <row r="17" spans="1:47" ht="12.75">
      <c r="A17" s="44">
        <v>11</v>
      </c>
      <c r="B17" s="306">
        <f t="shared" si="5"/>
        <v>0.017</v>
      </c>
      <c r="C17" s="182">
        <f>IF(A17&gt;'Test de compensation'!$G$125,0,C16+(C16*B16))</f>
        <v>61140.404204387596</v>
      </c>
      <c r="D17" s="43">
        <f>IF(A17&gt;'Test de compensation'!$D$146,0,'Calculs détaillés'!D16)</f>
        <v>41558.76</v>
      </c>
      <c r="E17" s="43">
        <f>-(C17+D17)*E2</f>
        <v>-3080.974926131628</v>
      </c>
      <c r="F17" s="225">
        <v>0</v>
      </c>
      <c r="G17" s="225">
        <v>0</v>
      </c>
      <c r="H17" s="43">
        <f>IF(A17&gt;'Test de compensation'!$D$146,0,H16+H16*B16)</f>
        <v>1420.334954798891</v>
      </c>
      <c r="I17" s="141">
        <f t="shared" si="6"/>
        <v>101038.52423305486</v>
      </c>
      <c r="J17" s="525">
        <f t="shared" si="7"/>
        <v>11</v>
      </c>
      <c r="K17" s="400">
        <f t="shared" si="8"/>
        <v>0.031</v>
      </c>
      <c r="L17" s="43">
        <f>IF(A17&gt;'Test de compensation'!$G$125,0,'Calculs détaillés'!L16)</f>
        <v>170725.62845735907</v>
      </c>
      <c r="M17" s="47">
        <f t="shared" si="9"/>
        <v>44916.52507205893</v>
      </c>
      <c r="N17" s="43">
        <f t="shared" si="0"/>
        <v>125809.10338530014</v>
      </c>
      <c r="O17" s="378">
        <f t="shared" si="10"/>
        <v>1323111.060229504</v>
      </c>
      <c r="P17" s="525">
        <f t="shared" si="11"/>
        <v>11</v>
      </c>
      <c r="Q17" s="137">
        <f t="shared" si="20"/>
        <v>0.022</v>
      </c>
      <c r="R17" s="43">
        <f>IF(P17&gt;'Test de compensation'!$G$126,0,'Calculs détaillés'!R16)</f>
        <v>21830.271001803874</v>
      </c>
      <c r="S17" s="47">
        <f t="shared" si="21"/>
        <v>2250.6334503585776</v>
      </c>
      <c r="T17" s="43">
        <f t="shared" si="1"/>
        <v>19579.637551445296</v>
      </c>
      <c r="U17" s="378">
        <f t="shared" si="12"/>
        <v>82721.88291939914</v>
      </c>
      <c r="V17" s="525">
        <f t="shared" si="13"/>
        <v>11</v>
      </c>
      <c r="W17" s="137">
        <f t="shared" si="22"/>
        <v>0.04</v>
      </c>
      <c r="X17" s="43">
        <f>IF(V17&gt;'Test de compensation'!$G$127,0,'Calculs détaillés'!X16)</f>
        <v>11102.842094065038</v>
      </c>
      <c r="Y17" s="47">
        <f t="shared" si="14"/>
        <v>1977.1152148842239</v>
      </c>
      <c r="Z17" s="43">
        <f t="shared" si="2"/>
        <v>9125.726879180813</v>
      </c>
      <c r="AA17" s="378">
        <f t="shared" si="15"/>
        <v>40302.15349292479</v>
      </c>
      <c r="AB17" s="525">
        <f t="shared" si="16"/>
        <v>11</v>
      </c>
      <c r="AC17" s="400">
        <f t="shared" si="23"/>
        <v>0.04</v>
      </c>
      <c r="AD17" s="43">
        <f>IF(AB17&gt;'Test de compensation'!$G$128,0,'Calculs détaillés'!AD16)</f>
        <v>0</v>
      </c>
      <c r="AE17" s="47">
        <f t="shared" si="17"/>
        <v>0</v>
      </c>
      <c r="AF17" s="43">
        <f t="shared" si="3"/>
        <v>0</v>
      </c>
      <c r="AG17" s="43">
        <f t="shared" si="18"/>
        <v>0</v>
      </c>
      <c r="AH17" s="147">
        <f t="shared" si="4"/>
        <v>203658.74155322797</v>
      </c>
      <c r="AI17" s="140">
        <f t="shared" si="19"/>
        <v>49144.27373730173</v>
      </c>
      <c r="AJ17" s="282">
        <v>0</v>
      </c>
      <c r="AK17" s="284">
        <v>0</v>
      </c>
      <c r="AL17" s="210" t="s">
        <v>151</v>
      </c>
      <c r="AM17" s="141" t="s">
        <v>141</v>
      </c>
      <c r="AN17" s="298">
        <v>0</v>
      </c>
      <c r="AO17" s="255">
        <v>0</v>
      </c>
      <c r="AP17" s="210">
        <v>0</v>
      </c>
      <c r="AQ17" s="139">
        <f t="shared" si="24"/>
        <v>0</v>
      </c>
      <c r="AR17" s="303">
        <f>IF(A17&gt;'Test de compensation'!$G$125,0,'Calculs détaillés'!AR16)</f>
        <v>11712.075063393575</v>
      </c>
      <c r="AS17" s="303" t="s">
        <v>151</v>
      </c>
      <c r="AT17" s="147" t="s">
        <v>151</v>
      </c>
      <c r="AU17" s="43" t="s">
        <v>151</v>
      </c>
    </row>
    <row r="18" spans="1:47" ht="12.75">
      <c r="A18" s="44">
        <v>12</v>
      </c>
      <c r="B18" s="306">
        <f t="shared" si="5"/>
        <v>0.017</v>
      </c>
      <c r="C18" s="182">
        <f>IF(A18&gt;'Test de compensation'!$G$125,0,C17+(C17*B17))</f>
        <v>62179.79107586219</v>
      </c>
      <c r="D18" s="43">
        <f>IF(A18&gt;'Test de compensation'!$D$146,0,'Calculs détaillés'!D17)</f>
        <v>41558.76</v>
      </c>
      <c r="E18" s="43">
        <f>-(C18+D18)*E2</f>
        <v>-3112.1565322758656</v>
      </c>
      <c r="F18" s="225">
        <v>0</v>
      </c>
      <c r="G18" s="225">
        <v>0</v>
      </c>
      <c r="H18" s="43">
        <f>IF(A18&gt;'Test de compensation'!$D$146,0,H17+H17*B17)</f>
        <v>1444.480649030472</v>
      </c>
      <c r="I18" s="141">
        <f t="shared" si="6"/>
        <v>102070.8751926168</v>
      </c>
      <c r="J18" s="525">
        <f t="shared" si="7"/>
        <v>12</v>
      </c>
      <c r="K18" s="400">
        <f t="shared" si="8"/>
        <v>0.031</v>
      </c>
      <c r="L18" s="43">
        <f>IF(A18&gt;'Test de compensation'!$G$125,0,'Calculs détaillés'!L17)</f>
        <v>170725.62845735907</v>
      </c>
      <c r="M18" s="47">
        <f t="shared" si="9"/>
        <v>41016.44286711462</v>
      </c>
      <c r="N18" s="43">
        <f t="shared" si="0"/>
        <v>129709.18559024445</v>
      </c>
      <c r="O18" s="378">
        <f t="shared" si="10"/>
        <v>1193401.8746392597</v>
      </c>
      <c r="P18" s="525">
        <f t="shared" si="11"/>
        <v>12</v>
      </c>
      <c r="Q18" s="137">
        <f t="shared" si="20"/>
        <v>0.022</v>
      </c>
      <c r="R18" s="43">
        <f>IF(P18&gt;'Test de compensation'!$G$126,0,'Calculs détaillés'!R17)</f>
        <v>21830.271001803874</v>
      </c>
      <c r="S18" s="47">
        <f t="shared" si="21"/>
        <v>1819.881424226781</v>
      </c>
      <c r="T18" s="43">
        <f t="shared" si="1"/>
        <v>20010.389577577094</v>
      </c>
      <c r="U18" s="378">
        <f t="shared" si="12"/>
        <v>62711.493341822046</v>
      </c>
      <c r="V18" s="525">
        <f t="shared" si="13"/>
        <v>12</v>
      </c>
      <c r="W18" s="137">
        <f t="shared" si="22"/>
        <v>0.04</v>
      </c>
      <c r="X18" s="43">
        <f>IF(V18&gt;'Test de compensation'!$G$127,0,'Calculs détaillés'!X17)</f>
        <v>11102.842094065038</v>
      </c>
      <c r="Y18" s="47">
        <f t="shared" si="14"/>
        <v>1612.0861397169915</v>
      </c>
      <c r="Z18" s="43">
        <f t="shared" si="2"/>
        <v>9490.755954348046</v>
      </c>
      <c r="AA18" s="378">
        <f t="shared" si="15"/>
        <v>30811.39753857674</v>
      </c>
      <c r="AB18" s="525">
        <f t="shared" si="16"/>
        <v>12</v>
      </c>
      <c r="AC18" s="400">
        <f t="shared" si="23"/>
        <v>0.04</v>
      </c>
      <c r="AD18" s="43">
        <f>IF(AB18&gt;'Test de compensation'!$G$128,0,'Calculs détaillés'!AD17)</f>
        <v>0</v>
      </c>
      <c r="AE18" s="47">
        <f t="shared" si="17"/>
        <v>0</v>
      </c>
      <c r="AF18" s="43">
        <f t="shared" si="3"/>
        <v>0</v>
      </c>
      <c r="AG18" s="43">
        <f t="shared" si="18"/>
        <v>0</v>
      </c>
      <c r="AH18" s="147">
        <f t="shared" si="4"/>
        <v>203658.74155322797</v>
      </c>
      <c r="AI18" s="140">
        <f t="shared" si="19"/>
        <v>44448.4104310584</v>
      </c>
      <c r="AJ18" s="282">
        <v>0</v>
      </c>
      <c r="AK18" s="284">
        <v>0</v>
      </c>
      <c r="AL18" s="210" t="s">
        <v>151</v>
      </c>
      <c r="AM18" s="141" t="s">
        <v>151</v>
      </c>
      <c r="AN18" s="298">
        <v>0</v>
      </c>
      <c r="AO18" s="255">
        <v>0</v>
      </c>
      <c r="AP18" s="210">
        <v>0</v>
      </c>
      <c r="AQ18" s="139">
        <f t="shared" si="24"/>
        <v>0</v>
      </c>
      <c r="AR18" s="303">
        <f>IF(A18&gt;'Test de compensation'!$G$125,0,'Calculs détaillés'!AR17)</f>
        <v>11712.075063393575</v>
      </c>
      <c r="AS18" s="303" t="s">
        <v>151</v>
      </c>
      <c r="AT18" s="147" t="s">
        <v>151</v>
      </c>
      <c r="AU18" s="43" t="s">
        <v>151</v>
      </c>
    </row>
    <row r="19" spans="1:47" ht="12.75">
      <c r="A19" s="44">
        <v>13</v>
      </c>
      <c r="B19" s="306">
        <f t="shared" si="5"/>
        <v>0.017</v>
      </c>
      <c r="C19" s="182">
        <f>IF(A19&gt;'Test de compensation'!$G$125,0,C18+(C18*B18))</f>
        <v>63236.847524151846</v>
      </c>
      <c r="D19" s="43">
        <f>IF(A19&gt;'Test de compensation'!$D$146,0,'Calculs détaillés'!D18)</f>
        <v>41558.76</v>
      </c>
      <c r="E19" s="43">
        <f>-(C19+D19)*E2</f>
        <v>-3143.8682257245555</v>
      </c>
      <c r="F19" s="225">
        <v>0</v>
      </c>
      <c r="G19" s="225">
        <v>0</v>
      </c>
      <c r="H19" s="43">
        <f>IF(A19&gt;'Test de compensation'!$D$146,0,H18+H18*B18)</f>
        <v>1469.03682006399</v>
      </c>
      <c r="I19" s="141">
        <f t="shared" si="6"/>
        <v>103120.7761184913</v>
      </c>
      <c r="J19" s="525">
        <f t="shared" si="7"/>
        <v>13</v>
      </c>
      <c r="K19" s="400">
        <f t="shared" si="8"/>
        <v>0.031</v>
      </c>
      <c r="L19" s="43">
        <f>IF(A19&gt;'Test de compensation'!$G$125,0,'Calculs détaillés'!L18)</f>
        <v>170725.62845735907</v>
      </c>
      <c r="M19" s="47">
        <f t="shared" si="9"/>
        <v>36995.45811381705</v>
      </c>
      <c r="N19" s="43">
        <f t="shared" si="0"/>
        <v>133730.170343542</v>
      </c>
      <c r="O19" s="378">
        <f t="shared" si="10"/>
        <v>1059671.7042957176</v>
      </c>
      <c r="P19" s="525">
        <f t="shared" si="11"/>
        <v>13</v>
      </c>
      <c r="Q19" s="137">
        <f t="shared" si="20"/>
        <v>0.022</v>
      </c>
      <c r="R19" s="43">
        <f>IF(P19&gt;'Test de compensation'!$G$126,0,'Calculs détaillés'!R18)</f>
        <v>21830.271001803874</v>
      </c>
      <c r="S19" s="47">
        <f t="shared" si="21"/>
        <v>1379.652853520085</v>
      </c>
      <c r="T19" s="43">
        <f t="shared" si="1"/>
        <v>20450.61814828379</v>
      </c>
      <c r="U19" s="378">
        <f t="shared" si="12"/>
        <v>42260.87519353826</v>
      </c>
      <c r="V19" s="525">
        <f t="shared" si="13"/>
        <v>13</v>
      </c>
      <c r="W19" s="137">
        <f t="shared" si="22"/>
        <v>0.04</v>
      </c>
      <c r="X19" s="43">
        <f>IF(V19&gt;'Test de compensation'!$G$127,0,'Calculs détaillés'!X18)</f>
        <v>11102.842094065038</v>
      </c>
      <c r="Y19" s="47">
        <f t="shared" si="14"/>
        <v>1232.4559015430696</v>
      </c>
      <c r="Z19" s="43">
        <f t="shared" si="2"/>
        <v>9870.386192521968</v>
      </c>
      <c r="AA19" s="378">
        <f t="shared" si="15"/>
        <v>20941.011346054773</v>
      </c>
      <c r="AB19" s="525">
        <f t="shared" si="16"/>
        <v>13</v>
      </c>
      <c r="AC19" s="400">
        <f t="shared" si="23"/>
        <v>0.04</v>
      </c>
      <c r="AD19" s="43">
        <f>IF(AB19&gt;'Test de compensation'!$G$128,0,'Calculs détaillés'!AD18)</f>
        <v>0</v>
      </c>
      <c r="AE19" s="47">
        <f t="shared" si="17"/>
        <v>0</v>
      </c>
      <c r="AF19" s="43">
        <f t="shared" si="3"/>
        <v>0</v>
      </c>
      <c r="AG19" s="43">
        <f t="shared" si="18"/>
        <v>0</v>
      </c>
      <c r="AH19" s="147">
        <f t="shared" si="4"/>
        <v>203658.74155322797</v>
      </c>
      <c r="AI19" s="140">
        <f t="shared" si="19"/>
        <v>39607.5668688802</v>
      </c>
      <c r="AJ19" s="282">
        <v>0</v>
      </c>
      <c r="AK19" s="284">
        <v>0</v>
      </c>
      <c r="AL19" s="210" t="s">
        <v>151</v>
      </c>
      <c r="AM19" s="141" t="s">
        <v>151</v>
      </c>
      <c r="AN19" s="298">
        <v>0</v>
      </c>
      <c r="AO19" s="255">
        <v>0</v>
      </c>
      <c r="AP19" s="210">
        <v>0</v>
      </c>
      <c r="AQ19" s="139">
        <f t="shared" si="24"/>
        <v>0</v>
      </c>
      <c r="AR19" s="303">
        <f>IF(A19&gt;'Test de compensation'!$G$125,0,'Calculs détaillés'!AR18)</f>
        <v>11712.075063393575</v>
      </c>
      <c r="AS19" s="303" t="s">
        <v>141</v>
      </c>
      <c r="AT19" s="147" t="s">
        <v>151</v>
      </c>
      <c r="AU19" s="43" t="s">
        <v>151</v>
      </c>
    </row>
    <row r="20" spans="1:47" ht="12.75">
      <c r="A20" s="44">
        <v>14</v>
      </c>
      <c r="B20" s="306">
        <f t="shared" si="5"/>
        <v>0.017</v>
      </c>
      <c r="C20" s="182">
        <f>IF(A20&gt;'Test de compensation'!$G$125,0,C19+(C19*B19))</f>
        <v>64311.87393206243</v>
      </c>
      <c r="D20" s="43">
        <f>IF(A20&gt;'Test de compensation'!$D$146,0,'Calculs détaillés'!D19)</f>
        <v>41558.76</v>
      </c>
      <c r="E20" s="43">
        <f>-(C20+D20)*E2</f>
        <v>-3176.1190179618725</v>
      </c>
      <c r="F20" s="225">
        <v>0</v>
      </c>
      <c r="G20" s="225">
        <v>0</v>
      </c>
      <c r="H20" s="43">
        <f>IF(A20&gt;'Test de compensation'!$D$146,0,H19+H19*B19)</f>
        <v>1494.010446005078</v>
      </c>
      <c r="I20" s="141">
        <f t="shared" si="6"/>
        <v>104188.52536010563</v>
      </c>
      <c r="J20" s="525">
        <f t="shared" si="7"/>
        <v>14</v>
      </c>
      <c r="K20" s="400">
        <f t="shared" si="8"/>
        <v>0.031</v>
      </c>
      <c r="L20" s="43">
        <f>IF(A20&gt;'Test de compensation'!$G$125,0,'Calculs détaillés'!L19)</f>
        <v>170725.62845735907</v>
      </c>
      <c r="M20" s="47">
        <f t="shared" si="9"/>
        <v>32849.82283316724</v>
      </c>
      <c r="N20" s="43">
        <f t="shared" si="0"/>
        <v>137875.80562419182</v>
      </c>
      <c r="O20" s="378">
        <f t="shared" si="10"/>
        <v>921795.8986715258</v>
      </c>
      <c r="P20" s="525">
        <f t="shared" si="11"/>
        <v>14</v>
      </c>
      <c r="Q20" s="137">
        <f t="shared" si="20"/>
        <v>0.022</v>
      </c>
      <c r="R20" s="43">
        <f>IF(P20&gt;'Test de compensation'!$G$126,0,'Calculs détaillés'!R19)</f>
        <v>21830.271001803874</v>
      </c>
      <c r="S20" s="47">
        <f t="shared" si="21"/>
        <v>929.7392542578417</v>
      </c>
      <c r="T20" s="43">
        <f t="shared" si="1"/>
        <v>20900.531747546032</v>
      </c>
      <c r="U20" s="378">
        <f t="shared" si="12"/>
        <v>21360.34344599223</v>
      </c>
      <c r="V20" s="525">
        <f t="shared" si="13"/>
        <v>14</v>
      </c>
      <c r="W20" s="137">
        <f t="shared" si="22"/>
        <v>0.04</v>
      </c>
      <c r="X20" s="43">
        <f>IF(V20&gt;'Test de compensation'!$G$127,0,'Calculs détaillés'!X19)</f>
        <v>11102.842094065038</v>
      </c>
      <c r="Y20" s="47">
        <f t="shared" si="14"/>
        <v>837.6404538421909</v>
      </c>
      <c r="Z20" s="43">
        <f t="shared" si="2"/>
        <v>10265.201640222847</v>
      </c>
      <c r="AA20" s="378">
        <f t="shared" si="15"/>
        <v>10675.809705831925</v>
      </c>
      <c r="AB20" s="525">
        <f t="shared" si="16"/>
        <v>14</v>
      </c>
      <c r="AC20" s="400">
        <f t="shared" si="23"/>
        <v>0.04</v>
      </c>
      <c r="AD20" s="43">
        <f>IF(AB20&gt;'Test de compensation'!$G$128,0,'Calculs détaillés'!AD19)</f>
        <v>0</v>
      </c>
      <c r="AE20" s="47">
        <f t="shared" si="17"/>
        <v>0</v>
      </c>
      <c r="AF20" s="43">
        <f t="shared" si="3"/>
        <v>0</v>
      </c>
      <c r="AG20" s="43">
        <f t="shared" si="18"/>
        <v>0</v>
      </c>
      <c r="AH20" s="147">
        <f t="shared" si="4"/>
        <v>203658.74155322797</v>
      </c>
      <c r="AI20" s="140">
        <f t="shared" si="19"/>
        <v>34617.202541267274</v>
      </c>
      <c r="AJ20" s="282">
        <v>0</v>
      </c>
      <c r="AK20" s="284">
        <v>0</v>
      </c>
      <c r="AL20" s="210" t="s">
        <v>151</v>
      </c>
      <c r="AM20" s="141" t="s">
        <v>151</v>
      </c>
      <c r="AN20" s="298">
        <v>0</v>
      </c>
      <c r="AO20" s="255">
        <v>0</v>
      </c>
      <c r="AP20" s="210">
        <v>0</v>
      </c>
      <c r="AQ20" s="139">
        <f t="shared" si="24"/>
        <v>0</v>
      </c>
      <c r="AR20" s="303">
        <f>IF(A20&gt;'Test de compensation'!$G$125,0,'Calculs détaillés'!AR19)</f>
        <v>11712.075063393575</v>
      </c>
      <c r="AS20" s="303" t="s">
        <v>151</v>
      </c>
      <c r="AT20" s="147" t="s">
        <v>151</v>
      </c>
      <c r="AU20" s="43" t="s">
        <v>151</v>
      </c>
    </row>
    <row r="21" spans="1:47" ht="12.75">
      <c r="A21" s="44">
        <v>15</v>
      </c>
      <c r="B21" s="306">
        <f t="shared" si="5"/>
        <v>0.017</v>
      </c>
      <c r="C21" s="182">
        <f>IF(A21&gt;'Test de compensation'!$G$125,0,C20+(C20*B20))</f>
        <v>65405.175788907494</v>
      </c>
      <c r="D21" s="43">
        <f>IF(A21&gt;'Test de compensation'!$D$146,0,'Calculs détaillés'!D20)</f>
        <v>41558.76</v>
      </c>
      <c r="E21" s="43">
        <f>-(C21+D21)*E2</f>
        <v>-3208.9180736672247</v>
      </c>
      <c r="F21" s="225">
        <v>0</v>
      </c>
      <c r="G21" s="225">
        <v>0</v>
      </c>
      <c r="H21" s="43">
        <f>IF(A21&gt;'Test de compensation'!$D$146,0,H20+H20*B20)</f>
        <v>1519.4086235871644</v>
      </c>
      <c r="I21" s="141">
        <f t="shared" si="6"/>
        <v>105274.42633882743</v>
      </c>
      <c r="J21" s="525">
        <f t="shared" si="7"/>
        <v>15</v>
      </c>
      <c r="K21" s="400">
        <f t="shared" si="8"/>
        <v>0.031</v>
      </c>
      <c r="L21" s="43">
        <f>IF(A21&gt;'Test de compensation'!$G$125,0,'Calculs détaillés'!L20)</f>
        <v>170725.62845735907</v>
      </c>
      <c r="M21" s="47">
        <f t="shared" si="9"/>
        <v>28575.6728588173</v>
      </c>
      <c r="N21" s="43">
        <f t="shared" si="0"/>
        <v>142149.95559854177</v>
      </c>
      <c r="O21" s="378">
        <f t="shared" si="10"/>
        <v>779645.943072984</v>
      </c>
      <c r="P21" s="525">
        <f t="shared" si="11"/>
        <v>15</v>
      </c>
      <c r="Q21" s="137">
        <f t="shared" si="20"/>
        <v>0.022</v>
      </c>
      <c r="R21" s="43">
        <f>IF(P21&gt;'Test de compensation'!$G$126,0,'Calculs détaillés'!R20)</f>
        <v>21830.271001803874</v>
      </c>
      <c r="S21" s="47">
        <f t="shared" si="21"/>
        <v>469.927555811829</v>
      </c>
      <c r="T21" s="43">
        <f t="shared" si="1"/>
        <v>21360.343445992046</v>
      </c>
      <c r="U21" s="378">
        <f t="shared" si="12"/>
        <v>1.8189894035458565E-10</v>
      </c>
      <c r="V21" s="525">
        <f t="shared" si="13"/>
        <v>15</v>
      </c>
      <c r="W21" s="137">
        <f t="shared" si="22"/>
        <v>0.04</v>
      </c>
      <c r="X21" s="43">
        <f>IF(V21&gt;'Test de compensation'!$G$127,0,'Calculs détaillés'!X20)</f>
        <v>11102.842094065038</v>
      </c>
      <c r="Y21" s="47">
        <f t="shared" si="14"/>
        <v>427.032388233277</v>
      </c>
      <c r="Z21" s="43">
        <f t="shared" si="2"/>
        <v>10675.80970583176</v>
      </c>
      <c r="AA21" s="378">
        <f t="shared" si="15"/>
        <v>1.6552803572267294E-10</v>
      </c>
      <c r="AB21" s="525">
        <f t="shared" si="16"/>
        <v>15</v>
      </c>
      <c r="AC21" s="400">
        <f t="shared" si="23"/>
        <v>0.04</v>
      </c>
      <c r="AD21" s="43">
        <f>IF(AB21&gt;'Test de compensation'!$G$128,0,'Calculs détaillés'!AD20)</f>
        <v>0</v>
      </c>
      <c r="AE21" s="47">
        <f t="shared" si="17"/>
        <v>0</v>
      </c>
      <c r="AF21" s="43">
        <f t="shared" si="3"/>
        <v>0</v>
      </c>
      <c r="AG21" s="43">
        <f t="shared" si="18"/>
        <v>0</v>
      </c>
      <c r="AH21" s="147">
        <f t="shared" si="4"/>
        <v>203658.74155322797</v>
      </c>
      <c r="AI21" s="140">
        <f t="shared" si="19"/>
        <v>29472.632802862405</v>
      </c>
      <c r="AJ21" s="282">
        <v>0</v>
      </c>
      <c r="AK21" s="284">
        <v>0</v>
      </c>
      <c r="AL21" s="210" t="s">
        <v>151</v>
      </c>
      <c r="AM21" s="141" t="s">
        <v>151</v>
      </c>
      <c r="AN21" s="298">
        <v>0</v>
      </c>
      <c r="AO21" s="255">
        <v>0</v>
      </c>
      <c r="AP21" s="210">
        <v>0</v>
      </c>
      <c r="AQ21" s="139">
        <f t="shared" si="24"/>
        <v>0</v>
      </c>
      <c r="AR21" s="303">
        <f>IF(A21&gt;'Test de compensation'!$G$125,0,'Calculs détaillés'!AR20)</f>
        <v>11712.075063393575</v>
      </c>
      <c r="AS21" s="303" t="s">
        <v>151</v>
      </c>
      <c r="AT21" s="147" t="s">
        <v>151</v>
      </c>
      <c r="AU21" s="43" t="s">
        <v>151</v>
      </c>
    </row>
    <row r="22" spans="1:47" ht="12.75">
      <c r="A22" s="44">
        <v>16</v>
      </c>
      <c r="B22" s="306">
        <f t="shared" si="5"/>
        <v>0.017</v>
      </c>
      <c r="C22" s="182">
        <f>IF(A22&gt;'Test de compensation'!$G$125,0,C21+(C21*B21))</f>
        <v>66517.06377731892</v>
      </c>
      <c r="D22" s="43">
        <f>IF(A22&gt;'Test de compensation'!$D$146,0,'Calculs détaillés'!D21)</f>
        <v>41558.76</v>
      </c>
      <c r="E22" s="43">
        <f>-(C22+D22)*E2</f>
        <v>-3242.274713319568</v>
      </c>
      <c r="F22" s="225">
        <v>0</v>
      </c>
      <c r="G22" s="225">
        <v>0</v>
      </c>
      <c r="H22" s="43">
        <f>IF(A22&gt;'Test de compensation'!$D$146,0,H21+H21*B21)</f>
        <v>1545.2385701881462</v>
      </c>
      <c r="I22" s="141">
        <f t="shared" si="6"/>
        <v>106378.78763418751</v>
      </c>
      <c r="J22" s="525">
        <f t="shared" si="7"/>
        <v>16</v>
      </c>
      <c r="K22" s="400">
        <f t="shared" si="8"/>
        <v>0.031</v>
      </c>
      <c r="L22" s="43">
        <f>IF(A22&gt;'Test de compensation'!$G$125,0,'Calculs détaillés'!L21)</f>
        <v>170725.62845735907</v>
      </c>
      <c r="M22" s="47">
        <f t="shared" si="9"/>
        <v>24169.024235262503</v>
      </c>
      <c r="N22" s="43">
        <f t="shared" si="0"/>
        <v>146556.60422209656</v>
      </c>
      <c r="O22" s="378">
        <f t="shared" si="10"/>
        <v>633089.3388508875</v>
      </c>
      <c r="P22" s="525">
        <f t="shared" si="11"/>
        <v>16</v>
      </c>
      <c r="Q22" s="137">
        <f t="shared" si="20"/>
        <v>0.022</v>
      </c>
      <c r="R22" s="43">
        <f>IF(P22&gt;'Test de compensation'!$G$126,0,'Calculs détaillés'!R21)</f>
        <v>0</v>
      </c>
      <c r="S22" s="47">
        <f t="shared" si="21"/>
        <v>4.001776687800884E-12</v>
      </c>
      <c r="T22" s="43">
        <f t="shared" si="1"/>
        <v>-4.001776687800884E-12</v>
      </c>
      <c r="U22" s="378">
        <f t="shared" si="12"/>
        <v>1.8590071704238654E-10</v>
      </c>
      <c r="V22" s="525">
        <f t="shared" si="13"/>
        <v>16</v>
      </c>
      <c r="W22" s="137">
        <f t="shared" si="22"/>
        <v>0.04</v>
      </c>
      <c r="X22" s="43">
        <f>IF(V22&gt;'Test de compensation'!$G$127,0,'Calculs détaillés'!X21)</f>
        <v>0</v>
      </c>
      <c r="Y22" s="47">
        <f t="shared" si="14"/>
        <v>6.621121428906918E-12</v>
      </c>
      <c r="Z22" s="43">
        <f t="shared" si="2"/>
        <v>-6.621121428906918E-12</v>
      </c>
      <c r="AA22" s="378">
        <f t="shared" si="15"/>
        <v>1.7214915715157986E-10</v>
      </c>
      <c r="AB22" s="525">
        <f t="shared" si="16"/>
        <v>16</v>
      </c>
      <c r="AC22" s="400">
        <f t="shared" si="23"/>
        <v>0.04</v>
      </c>
      <c r="AD22" s="43">
        <f>IF(AB22&gt;'Test de compensation'!$G$128,0,'Calculs détaillés'!AD21)</f>
        <v>0</v>
      </c>
      <c r="AE22" s="47">
        <f t="shared" si="17"/>
        <v>0</v>
      </c>
      <c r="AF22" s="43">
        <f t="shared" si="3"/>
        <v>0</v>
      </c>
      <c r="AG22" s="43">
        <f t="shared" si="18"/>
        <v>0</v>
      </c>
      <c r="AH22" s="147">
        <f t="shared" si="4"/>
        <v>170725.62845735907</v>
      </c>
      <c r="AI22" s="140">
        <f t="shared" si="19"/>
        <v>24169.024235262514</v>
      </c>
      <c r="AJ22" s="282">
        <v>0</v>
      </c>
      <c r="AK22" s="284">
        <v>0</v>
      </c>
      <c r="AL22" s="210" t="s">
        <v>151</v>
      </c>
      <c r="AM22" s="141" t="s">
        <v>151</v>
      </c>
      <c r="AN22" s="298">
        <v>0</v>
      </c>
      <c r="AO22" s="255">
        <v>0</v>
      </c>
      <c r="AP22" s="210">
        <v>0</v>
      </c>
      <c r="AQ22" s="139">
        <f t="shared" si="24"/>
        <v>0</v>
      </c>
      <c r="AR22" s="303">
        <f>IF(A22&gt;'Test de compensation'!$G$125,0,'Calculs détaillés'!AR21)</f>
        <v>11712.075063393575</v>
      </c>
      <c r="AS22" s="303" t="s">
        <v>151</v>
      </c>
      <c r="AT22" s="147" t="s">
        <v>151</v>
      </c>
      <c r="AU22" s="43" t="s">
        <v>151</v>
      </c>
    </row>
    <row r="23" spans="1:47" ht="12.75">
      <c r="A23" s="44">
        <v>17</v>
      </c>
      <c r="B23" s="306">
        <f t="shared" si="5"/>
        <v>0.017</v>
      </c>
      <c r="C23" s="182">
        <f>IF(A23&gt;'Test de compensation'!$G$125,0,C22+(C22*B22))</f>
        <v>67647.85386153334</v>
      </c>
      <c r="D23" s="43">
        <f>IF(A23&gt;'Test de compensation'!$D$146,0,'Calculs détaillés'!D22)</f>
        <v>41558.76</v>
      </c>
      <c r="E23" s="43">
        <f>-(C23+D23)*E2</f>
        <v>-3276.1984158460004</v>
      </c>
      <c r="F23" s="225">
        <v>0</v>
      </c>
      <c r="G23" s="225">
        <v>0</v>
      </c>
      <c r="H23" s="43">
        <f>IF(A23&gt;'Test de compensation'!$D$146,0,H22+H22*B22)</f>
        <v>1571.5076258813447</v>
      </c>
      <c r="I23" s="141">
        <f t="shared" si="6"/>
        <v>107501.9230715687</v>
      </c>
      <c r="J23" s="525">
        <f t="shared" si="7"/>
        <v>17</v>
      </c>
      <c r="K23" s="400">
        <f t="shared" si="8"/>
        <v>0.031</v>
      </c>
      <c r="L23" s="43">
        <f>IF(A23&gt;'Test de compensation'!$G$125,0,'Calculs détaillés'!L22)</f>
        <v>170725.62845735907</v>
      </c>
      <c r="M23" s="47">
        <f t="shared" si="9"/>
        <v>19625.769504377513</v>
      </c>
      <c r="N23" s="43">
        <f t="shared" si="0"/>
        <v>151099.85895298157</v>
      </c>
      <c r="O23" s="378">
        <f t="shared" si="10"/>
        <v>481989.47989790596</v>
      </c>
      <c r="P23" s="525">
        <f t="shared" si="11"/>
        <v>17</v>
      </c>
      <c r="Q23" s="137">
        <f t="shared" si="20"/>
        <v>0.022</v>
      </c>
      <c r="R23" s="43">
        <f>IF(P23&gt;'Test de compensation'!$G$126,0,'Calculs détaillés'!R22)</f>
        <v>0</v>
      </c>
      <c r="S23" s="47">
        <f t="shared" si="21"/>
        <v>4.089815774932503E-12</v>
      </c>
      <c r="T23" s="43">
        <f t="shared" si="1"/>
        <v>-4.089815774932503E-12</v>
      </c>
      <c r="U23" s="378">
        <f t="shared" si="12"/>
        <v>1.8999053281731905E-10</v>
      </c>
      <c r="V23" s="525">
        <f t="shared" si="13"/>
        <v>17</v>
      </c>
      <c r="W23" s="137">
        <f t="shared" si="22"/>
        <v>0.04</v>
      </c>
      <c r="X23" s="43">
        <f>IF(V23&gt;'Test de compensation'!$G$127,0,'Calculs détaillés'!X22)</f>
        <v>0</v>
      </c>
      <c r="Y23" s="47">
        <f t="shared" si="14"/>
        <v>6.8859662860631944E-12</v>
      </c>
      <c r="Z23" s="43">
        <f t="shared" si="2"/>
        <v>-6.8859662860631944E-12</v>
      </c>
      <c r="AA23" s="378">
        <f t="shared" si="15"/>
        <v>1.7903512343764306E-10</v>
      </c>
      <c r="AB23" s="525">
        <f t="shared" si="16"/>
        <v>17</v>
      </c>
      <c r="AC23" s="400">
        <f t="shared" si="23"/>
        <v>0.04</v>
      </c>
      <c r="AD23" s="43">
        <f>IF(AB23&gt;'Test de compensation'!$G$128,0,'Calculs détaillés'!AD22)</f>
        <v>0</v>
      </c>
      <c r="AE23" s="47">
        <f t="shared" si="17"/>
        <v>0</v>
      </c>
      <c r="AF23" s="43">
        <f t="shared" si="3"/>
        <v>0</v>
      </c>
      <c r="AG23" s="43">
        <f t="shared" si="18"/>
        <v>0</v>
      </c>
      <c r="AH23" s="147">
        <f t="shared" si="4"/>
        <v>170725.62845735907</v>
      </c>
      <c r="AI23" s="140">
        <f t="shared" si="19"/>
        <v>19625.769504377524</v>
      </c>
      <c r="AJ23" s="282">
        <v>0</v>
      </c>
      <c r="AK23" s="284">
        <v>0</v>
      </c>
      <c r="AL23" s="210" t="s">
        <v>151</v>
      </c>
      <c r="AM23" s="141" t="s">
        <v>151</v>
      </c>
      <c r="AN23" s="298">
        <v>0</v>
      </c>
      <c r="AO23" s="255">
        <v>0</v>
      </c>
      <c r="AP23" s="210">
        <v>0</v>
      </c>
      <c r="AQ23" s="139">
        <f t="shared" si="24"/>
        <v>0</v>
      </c>
      <c r="AR23" s="303">
        <f>IF(A23&gt;'Test de compensation'!$G$125,0,'Calculs détaillés'!AR22)</f>
        <v>11712.075063393575</v>
      </c>
      <c r="AS23" s="303" t="s">
        <v>151</v>
      </c>
      <c r="AT23" s="147" t="s">
        <v>151</v>
      </c>
      <c r="AU23" s="43" t="s">
        <v>151</v>
      </c>
    </row>
    <row r="24" spans="1:47" ht="12.75">
      <c r="A24" s="44">
        <v>18</v>
      </c>
      <c r="B24" s="306">
        <f t="shared" si="5"/>
        <v>0.017</v>
      </c>
      <c r="C24" s="182">
        <f>IF(A24&gt;'Test de compensation'!$G$125,0,C23+(C23*B23))</f>
        <v>68797.8673771794</v>
      </c>
      <c r="D24" s="43">
        <f>IF(A24&gt;'Test de compensation'!$D$146,0,'Calculs détaillés'!D23)</f>
        <v>41558.76</v>
      </c>
      <c r="E24" s="43">
        <f>-(C24+D24)*E2</f>
        <v>-3310.698821315382</v>
      </c>
      <c r="F24" s="225">
        <v>0</v>
      </c>
      <c r="G24" s="225">
        <v>0</v>
      </c>
      <c r="H24" s="43">
        <f>IF(A24&gt;'Test de compensation'!$D$146,0,H23+H23*B23)</f>
        <v>1598.2232555213275</v>
      </c>
      <c r="I24" s="141">
        <f t="shared" si="6"/>
        <v>108644.15181138534</v>
      </c>
      <c r="J24" s="525">
        <f t="shared" si="7"/>
        <v>18</v>
      </c>
      <c r="K24" s="400">
        <f t="shared" si="8"/>
        <v>0.031</v>
      </c>
      <c r="L24" s="43">
        <f>IF(A24&gt;'Test de compensation'!$G$125,0,'Calculs détaillés'!L23)</f>
        <v>170725.62845735907</v>
      </c>
      <c r="M24" s="47">
        <f t="shared" si="9"/>
        <v>14941.673876835084</v>
      </c>
      <c r="N24" s="43">
        <f t="shared" si="0"/>
        <v>155783.95458052398</v>
      </c>
      <c r="O24" s="378">
        <f t="shared" si="10"/>
        <v>326205.52531738195</v>
      </c>
      <c r="P24" s="525">
        <f t="shared" si="11"/>
        <v>18</v>
      </c>
      <c r="Q24" s="137">
        <f t="shared" si="20"/>
        <v>0.022</v>
      </c>
      <c r="R24" s="43">
        <f>IF(P24&gt;'Test de compensation'!$G$126,0,'Calculs détaillés'!R23)</f>
        <v>0</v>
      </c>
      <c r="S24" s="47">
        <f t="shared" si="21"/>
        <v>4.179791721981019E-12</v>
      </c>
      <c r="T24" s="43">
        <f t="shared" si="1"/>
        <v>-4.179791721981019E-12</v>
      </c>
      <c r="U24" s="378">
        <f t="shared" si="12"/>
        <v>1.9417032453930006E-10</v>
      </c>
      <c r="V24" s="525">
        <f t="shared" si="13"/>
        <v>18</v>
      </c>
      <c r="W24" s="137">
        <f t="shared" si="22"/>
        <v>0.04</v>
      </c>
      <c r="X24" s="43">
        <f>IF(V24&gt;'Test de compensation'!$G$127,0,'Calculs détaillés'!X23)</f>
        <v>0</v>
      </c>
      <c r="Y24" s="47">
        <f t="shared" si="14"/>
        <v>7.161404937505722E-12</v>
      </c>
      <c r="Z24" s="43">
        <f t="shared" si="2"/>
        <v>-7.161404937505722E-12</v>
      </c>
      <c r="AA24" s="378">
        <f t="shared" si="15"/>
        <v>1.8619652837514877E-10</v>
      </c>
      <c r="AB24" s="525">
        <f t="shared" si="16"/>
        <v>18</v>
      </c>
      <c r="AC24" s="400">
        <f t="shared" si="23"/>
        <v>0.04</v>
      </c>
      <c r="AD24" s="43">
        <f>IF(AB24&gt;'Test de compensation'!$G$128,0,'Calculs détaillés'!AD23)</f>
        <v>0</v>
      </c>
      <c r="AE24" s="47">
        <f t="shared" si="17"/>
        <v>0</v>
      </c>
      <c r="AF24" s="43">
        <f t="shared" si="3"/>
        <v>0</v>
      </c>
      <c r="AG24" s="43">
        <f t="shared" si="18"/>
        <v>0</v>
      </c>
      <c r="AH24" s="147">
        <f t="shared" si="4"/>
        <v>170725.62845735907</v>
      </c>
      <c r="AI24" s="140">
        <f t="shared" si="19"/>
        <v>14941.673876835095</v>
      </c>
      <c r="AJ24" s="282">
        <v>0</v>
      </c>
      <c r="AK24" s="284">
        <v>0</v>
      </c>
      <c r="AL24" s="210" t="s">
        <v>151</v>
      </c>
      <c r="AM24" s="141" t="s">
        <v>151</v>
      </c>
      <c r="AN24" s="298">
        <v>0</v>
      </c>
      <c r="AO24" s="255">
        <v>0</v>
      </c>
      <c r="AP24" s="210">
        <v>0</v>
      </c>
      <c r="AQ24" s="139">
        <f t="shared" si="24"/>
        <v>0</v>
      </c>
      <c r="AR24" s="303">
        <f>IF(A24&gt;'Test de compensation'!$G$125,0,'Calculs détaillés'!AR23)</f>
        <v>11712.075063393575</v>
      </c>
      <c r="AS24" s="303" t="s">
        <v>151</v>
      </c>
      <c r="AT24" s="147" t="s">
        <v>151</v>
      </c>
      <c r="AU24" s="43" t="s">
        <v>151</v>
      </c>
    </row>
    <row r="25" spans="1:47" ht="12.75">
      <c r="A25" s="44">
        <v>19</v>
      </c>
      <c r="B25" s="306">
        <f t="shared" si="5"/>
        <v>0.017</v>
      </c>
      <c r="C25" s="182">
        <f>IF(A25&gt;'Test de compensation'!$G$125,0,C24+(C24*B24))</f>
        <v>69967.43112259144</v>
      </c>
      <c r="D25" s="43">
        <f>IF(A25&gt;'Test de compensation'!$D$146,0,'Calculs détaillés'!D24)</f>
        <v>41558.76</v>
      </c>
      <c r="E25" s="43">
        <f>-(C25+D25)*E2</f>
        <v>-3345.785733677743</v>
      </c>
      <c r="F25" s="225">
        <v>0</v>
      </c>
      <c r="G25" s="225">
        <v>0</v>
      </c>
      <c r="H25" s="43">
        <f>IF(A25&gt;'Test de compensation'!$D$146,0,H24+H24*B24)</f>
        <v>1625.39305086519</v>
      </c>
      <c r="I25" s="141">
        <f t="shared" si="6"/>
        <v>109805.79843977888</v>
      </c>
      <c r="J25" s="525">
        <f t="shared" si="7"/>
        <v>19</v>
      </c>
      <c r="K25" s="400">
        <f t="shared" si="8"/>
        <v>0.031</v>
      </c>
      <c r="L25" s="43">
        <f>IF(A25&gt;'Test de compensation'!$G$125,0,'Calculs détaillés'!L24)</f>
        <v>170725.62845735907</v>
      </c>
      <c r="M25" s="47">
        <f t="shared" si="9"/>
        <v>10112.37128483884</v>
      </c>
      <c r="N25" s="43">
        <f t="shared" si="0"/>
        <v>160613.2571725202</v>
      </c>
      <c r="O25" s="378">
        <f t="shared" si="10"/>
        <v>165592.26814486174</v>
      </c>
      <c r="P25" s="525">
        <f t="shared" si="11"/>
        <v>19</v>
      </c>
      <c r="Q25" s="137">
        <f t="shared" si="20"/>
        <v>0.022</v>
      </c>
      <c r="R25" s="43">
        <f>IF(P25&gt;'Test de compensation'!$G$126,0,'Calculs détaillés'!R24)</f>
        <v>0</v>
      </c>
      <c r="S25" s="47">
        <f t="shared" si="21"/>
        <v>4.271747139864601E-12</v>
      </c>
      <c r="T25" s="43">
        <f t="shared" si="1"/>
        <v>-4.271747139864601E-12</v>
      </c>
      <c r="U25" s="378">
        <f t="shared" si="12"/>
        <v>1.9844207167916466E-10</v>
      </c>
      <c r="V25" s="525">
        <f t="shared" si="13"/>
        <v>19</v>
      </c>
      <c r="W25" s="137">
        <f t="shared" si="22"/>
        <v>0.04</v>
      </c>
      <c r="X25" s="43">
        <f>IF(V25&gt;'Test de compensation'!$G$127,0,'Calculs détaillés'!X24)</f>
        <v>0</v>
      </c>
      <c r="Y25" s="47">
        <f t="shared" si="14"/>
        <v>7.447861135005951E-12</v>
      </c>
      <c r="Z25" s="43">
        <f t="shared" si="2"/>
        <v>-7.447861135005951E-12</v>
      </c>
      <c r="AA25" s="378">
        <f t="shared" si="15"/>
        <v>1.936443895101547E-10</v>
      </c>
      <c r="AB25" s="525">
        <f t="shared" si="16"/>
        <v>19</v>
      </c>
      <c r="AC25" s="400">
        <f t="shared" si="23"/>
        <v>0.04</v>
      </c>
      <c r="AD25" s="43">
        <f>IF(AB25&gt;'Test de compensation'!$G$128,0,'Calculs détaillés'!AD24)</f>
        <v>0</v>
      </c>
      <c r="AE25" s="47">
        <f t="shared" si="17"/>
        <v>0</v>
      </c>
      <c r="AF25" s="43">
        <f t="shared" si="3"/>
        <v>0</v>
      </c>
      <c r="AG25" s="43">
        <f t="shared" si="18"/>
        <v>0</v>
      </c>
      <c r="AH25" s="147">
        <f t="shared" si="4"/>
        <v>170725.62845735907</v>
      </c>
      <c r="AI25" s="140">
        <f t="shared" si="19"/>
        <v>10112.371284838851</v>
      </c>
      <c r="AJ25" s="282">
        <v>0</v>
      </c>
      <c r="AK25" s="284">
        <v>0</v>
      </c>
      <c r="AL25" s="210" t="s">
        <v>151</v>
      </c>
      <c r="AM25" s="141" t="s">
        <v>151</v>
      </c>
      <c r="AN25" s="298">
        <v>0</v>
      </c>
      <c r="AO25" s="255">
        <v>0</v>
      </c>
      <c r="AP25" s="210">
        <v>0</v>
      </c>
      <c r="AQ25" s="139">
        <f t="shared" si="24"/>
        <v>0</v>
      </c>
      <c r="AR25" s="303">
        <f>IF(A25&gt;'Test de compensation'!$G$125,0,'Calculs détaillés'!AR24)</f>
        <v>11712.075063393575</v>
      </c>
      <c r="AS25" s="303" t="s">
        <v>151</v>
      </c>
      <c r="AT25" s="147" t="s">
        <v>151</v>
      </c>
      <c r="AU25" s="43" t="s">
        <v>151</v>
      </c>
    </row>
    <row r="26" spans="1:47" ht="12.75">
      <c r="A26" s="44">
        <v>20</v>
      </c>
      <c r="B26" s="306">
        <f t="shared" si="5"/>
        <v>0.017</v>
      </c>
      <c r="C26" s="182">
        <f>IF(A26&gt;'Test de compensation'!$G$125,0,C25+(C25*B25))</f>
        <v>71156.8774516755</v>
      </c>
      <c r="D26" s="43">
        <f>IF(A26&gt;'Test de compensation'!$D$146,0,'Calculs détaillés'!D25)</f>
        <v>41558.76</v>
      </c>
      <c r="E26" s="43">
        <f>-(C26+D26)*E2</f>
        <v>-3381.4691235502646</v>
      </c>
      <c r="F26" s="225">
        <v>0</v>
      </c>
      <c r="G26" s="225">
        <v>0</v>
      </c>
      <c r="H26" s="43">
        <f>IF(A26&gt;'Test de compensation'!$D$146,0,H25+H25*B25)</f>
        <v>1653.0247327298982</v>
      </c>
      <c r="I26" s="141">
        <f t="shared" si="6"/>
        <v>110987.19306085512</v>
      </c>
      <c r="J26" s="525">
        <f t="shared" si="7"/>
        <v>20</v>
      </c>
      <c r="K26" s="400">
        <f t="shared" si="8"/>
        <v>0.031</v>
      </c>
      <c r="L26" s="43">
        <f>IF(A26&gt;'Test de compensation'!$G$125,0,'Calculs détaillés'!L25)</f>
        <v>170725.62845735907</v>
      </c>
      <c r="M26" s="47">
        <f t="shared" si="9"/>
        <v>5133.360312490714</v>
      </c>
      <c r="N26" s="43">
        <f t="shared" si="0"/>
        <v>165592.26814486834</v>
      </c>
      <c r="O26" s="378">
        <f t="shared" si="10"/>
        <v>-6.606569513678551E-09</v>
      </c>
      <c r="P26" s="525">
        <f t="shared" si="11"/>
        <v>20</v>
      </c>
      <c r="Q26" s="137">
        <f t="shared" si="20"/>
        <v>0.022</v>
      </c>
      <c r="R26" s="43">
        <f>IF(P26&gt;'Test de compensation'!$G$126,0,'Calculs détaillés'!R25)</f>
        <v>0</v>
      </c>
      <c r="S26" s="47">
        <f t="shared" si="21"/>
        <v>4.365725576941622E-12</v>
      </c>
      <c r="T26" s="43">
        <f t="shared" si="1"/>
        <v>-4.365725576941622E-12</v>
      </c>
      <c r="U26" s="378">
        <f t="shared" si="12"/>
        <v>2.0280779725610627E-10</v>
      </c>
      <c r="V26" s="525">
        <f t="shared" si="13"/>
        <v>20</v>
      </c>
      <c r="W26" s="137">
        <f t="shared" si="22"/>
        <v>0.04</v>
      </c>
      <c r="X26" s="43">
        <f>IF(V26&gt;'Test de compensation'!$G$127,0,'Calculs détaillés'!X25)</f>
        <v>0</v>
      </c>
      <c r="Y26" s="47">
        <f t="shared" si="14"/>
        <v>7.745775580406188E-12</v>
      </c>
      <c r="Z26" s="43">
        <f t="shared" si="2"/>
        <v>-7.745775580406188E-12</v>
      </c>
      <c r="AA26" s="378">
        <f t="shared" si="15"/>
        <v>2.013901650905609E-10</v>
      </c>
      <c r="AB26" s="525">
        <f t="shared" si="16"/>
        <v>20</v>
      </c>
      <c r="AC26" s="400">
        <f t="shared" si="23"/>
        <v>0.04</v>
      </c>
      <c r="AD26" s="43">
        <f>IF(AB26&gt;'Test de compensation'!$G$128,0,'Calculs détaillés'!AD25)</f>
        <v>0</v>
      </c>
      <c r="AE26" s="47">
        <f t="shared" si="17"/>
        <v>0</v>
      </c>
      <c r="AF26" s="43">
        <f t="shared" si="3"/>
        <v>0</v>
      </c>
      <c r="AG26" s="43">
        <f t="shared" si="18"/>
        <v>0</v>
      </c>
      <c r="AH26" s="147">
        <f t="shared" si="4"/>
        <v>170725.62845735907</v>
      </c>
      <c r="AI26" s="140">
        <f t="shared" si="19"/>
        <v>5133.360312490727</v>
      </c>
      <c r="AJ26" s="282">
        <v>0</v>
      </c>
      <c r="AK26" s="284">
        <v>0</v>
      </c>
      <c r="AL26" s="567" t="s">
        <v>151</v>
      </c>
      <c r="AM26" s="507" t="s">
        <v>151</v>
      </c>
      <c r="AN26" s="298">
        <v>0</v>
      </c>
      <c r="AO26" s="255">
        <v>0</v>
      </c>
      <c r="AP26" s="210">
        <v>0</v>
      </c>
      <c r="AQ26" s="139">
        <f t="shared" si="24"/>
        <v>0</v>
      </c>
      <c r="AR26" s="303">
        <f>IF(A26&gt;'Test de compensation'!$G$125,0,'Calculs détaillés'!AR25)</f>
        <v>11712.075063393575</v>
      </c>
      <c r="AS26" s="569" t="s">
        <v>151</v>
      </c>
      <c r="AT26" s="570" t="s">
        <v>151</v>
      </c>
      <c r="AU26" s="43" t="s">
        <v>151</v>
      </c>
    </row>
    <row r="27" spans="1:47" ht="12.75">
      <c r="A27" s="44">
        <v>21</v>
      </c>
      <c r="B27" s="306">
        <f>B26</f>
        <v>0.017</v>
      </c>
      <c r="C27" s="182">
        <f>IF(A27&gt;'Test de compensation'!$G$125,0,C26+(C26*B26))</f>
        <v>0</v>
      </c>
      <c r="D27" s="43">
        <f>IF(A27&gt;'Test de compensation'!$D$146,0,'Calculs détaillés'!D26)</f>
        <v>0</v>
      </c>
      <c r="E27" s="43">
        <f>-(C27+D27)*E2</f>
        <v>0</v>
      </c>
      <c r="F27" s="225">
        <v>0</v>
      </c>
      <c r="G27" s="225">
        <v>0</v>
      </c>
      <c r="H27" s="43">
        <f>IF(A27&gt;'Test de compensation'!$D$146,0,H26+H26*B26)</f>
        <v>0</v>
      </c>
      <c r="I27" s="141">
        <f t="shared" si="6"/>
        <v>0</v>
      </c>
      <c r="J27" s="525">
        <f t="shared" si="7"/>
        <v>21</v>
      </c>
      <c r="K27" s="400">
        <f t="shared" si="8"/>
        <v>0.031</v>
      </c>
      <c r="L27" s="43">
        <f>IF(A27&gt;'Test de compensation'!$G$125,0,'Calculs détaillés'!L26)</f>
        <v>0</v>
      </c>
      <c r="M27" s="47">
        <f t="shared" si="9"/>
        <v>-2.0480365492403507E-10</v>
      </c>
      <c r="N27" s="43">
        <f t="shared" si="0"/>
        <v>2.0480365492403507E-10</v>
      </c>
      <c r="O27" s="378">
        <f t="shared" si="10"/>
        <v>-6.811373168602586E-09</v>
      </c>
      <c r="P27" s="525">
        <f t="shared" si="11"/>
        <v>21</v>
      </c>
      <c r="Q27" s="137">
        <f>Q26</f>
        <v>0.022</v>
      </c>
      <c r="R27" s="43">
        <f>IF(P27&gt;'Test de compensation'!$G$126,0,'Calculs détaillés'!R26)</f>
        <v>0</v>
      </c>
      <c r="S27" s="47">
        <f t="shared" si="21"/>
        <v>4.461771539634338E-12</v>
      </c>
      <c r="T27" s="43">
        <f t="shared" si="1"/>
        <v>-4.461771539634338E-12</v>
      </c>
      <c r="U27" s="378">
        <f t="shared" si="12"/>
        <v>2.072695687957406E-10</v>
      </c>
      <c r="V27" s="525">
        <f t="shared" si="13"/>
        <v>21</v>
      </c>
      <c r="W27" s="137">
        <f>W26</f>
        <v>0.04</v>
      </c>
      <c r="X27" s="43">
        <f>IF(V27&gt;'Test de compensation'!$G$127,0,'Calculs détaillés'!X26)</f>
        <v>0</v>
      </c>
      <c r="Y27" s="47">
        <f t="shared" si="14"/>
        <v>8.055606603622437E-12</v>
      </c>
      <c r="Z27" s="43">
        <f t="shared" si="2"/>
        <v>-8.055606603622437E-12</v>
      </c>
      <c r="AA27" s="378">
        <f t="shared" si="15"/>
        <v>2.0944577169418334E-10</v>
      </c>
      <c r="AB27" s="525">
        <f t="shared" si="16"/>
        <v>21</v>
      </c>
      <c r="AC27" s="400">
        <f>AC26</f>
        <v>0.04</v>
      </c>
      <c r="AD27" s="43">
        <f>IF(AB27&gt;'Test de compensation'!$G$128,0,'Calculs détaillés'!AD26)</f>
        <v>0</v>
      </c>
      <c r="AE27" s="47">
        <f t="shared" si="17"/>
        <v>0</v>
      </c>
      <c r="AF27" s="43">
        <f t="shared" si="3"/>
        <v>0</v>
      </c>
      <c r="AG27" s="43">
        <f t="shared" si="18"/>
        <v>0</v>
      </c>
      <c r="AH27" s="147">
        <f t="shared" si="4"/>
        <v>0</v>
      </c>
      <c r="AI27" s="140">
        <f t="shared" si="19"/>
        <v>-1.922862767807783E-10</v>
      </c>
      <c r="AJ27" s="282">
        <v>0</v>
      </c>
      <c r="AK27" s="284">
        <v>0</v>
      </c>
      <c r="AL27" s="511"/>
      <c r="AM27" s="568"/>
      <c r="AN27" s="298">
        <v>0</v>
      </c>
      <c r="AO27" s="255">
        <v>0</v>
      </c>
      <c r="AP27" s="210">
        <v>0</v>
      </c>
      <c r="AQ27" s="139">
        <f t="shared" si="24"/>
        <v>0</v>
      </c>
      <c r="AR27" s="303">
        <f>IF(A27&gt;'Test de compensation'!$G$125,0,'Calculs détaillés'!AR26)</f>
        <v>0</v>
      </c>
      <c r="AS27" s="508"/>
      <c r="AT27" s="508"/>
      <c r="AU27" s="43"/>
    </row>
    <row r="28" spans="1:47" ht="12.75">
      <c r="A28" s="44">
        <v>22</v>
      </c>
      <c r="B28" s="306">
        <f>B27</f>
        <v>0.017</v>
      </c>
      <c r="C28" s="182">
        <f>IF(A28&gt;'Test de compensation'!$G$125,0,C27+(C27*B27))</f>
        <v>0</v>
      </c>
      <c r="D28" s="43">
        <f>IF(A28&gt;'Test de compensation'!$D$146,0,'Calculs détaillés'!D27)</f>
        <v>0</v>
      </c>
      <c r="E28" s="43">
        <f>-(C28+D28)*E2</f>
        <v>0</v>
      </c>
      <c r="F28" s="225">
        <v>0</v>
      </c>
      <c r="G28" s="225">
        <v>0</v>
      </c>
      <c r="H28" s="43">
        <f>IF(A28&gt;'Test de compensation'!$D$146,0,H27+H27*B27)</f>
        <v>0</v>
      </c>
      <c r="I28" s="141">
        <f t="shared" si="6"/>
        <v>0</v>
      </c>
      <c r="J28" s="525">
        <f t="shared" si="7"/>
        <v>22</v>
      </c>
      <c r="K28" s="400">
        <f t="shared" si="8"/>
        <v>0.031</v>
      </c>
      <c r="L28" s="43">
        <f>IF(A28&gt;'Test de compensation'!$G$125,0,'Calculs détaillés'!L27)</f>
        <v>0</v>
      </c>
      <c r="M28" s="47">
        <f t="shared" si="9"/>
        <v>-2.1115256822668016E-10</v>
      </c>
      <c r="N28" s="43">
        <f t="shared" si="0"/>
        <v>2.1115256822668016E-10</v>
      </c>
      <c r="O28" s="378">
        <f t="shared" si="10"/>
        <v>-7.022525736829266E-09</v>
      </c>
      <c r="P28" s="525">
        <f t="shared" si="11"/>
        <v>22</v>
      </c>
      <c r="Q28" s="137">
        <f>Q27</f>
        <v>0.022</v>
      </c>
      <c r="R28" s="43">
        <f>IF(P28&gt;'Test de compensation'!$G$126,0,'Calculs détaillés'!R27)</f>
        <v>0</v>
      </c>
      <c r="S28" s="47">
        <f t="shared" si="21"/>
        <v>4.5599305135062925E-12</v>
      </c>
      <c r="T28" s="43">
        <f t="shared" si="1"/>
        <v>-4.5599305135062925E-12</v>
      </c>
      <c r="U28" s="378">
        <f t="shared" si="12"/>
        <v>2.1182949930924688E-10</v>
      </c>
      <c r="V28" s="525">
        <f t="shared" si="13"/>
        <v>22</v>
      </c>
      <c r="W28" s="137">
        <f>W27</f>
        <v>0.04</v>
      </c>
      <c r="X28" s="43">
        <f>IF(V28&gt;'Test de compensation'!$G$127,0,'Calculs détaillés'!X27)</f>
        <v>0</v>
      </c>
      <c r="Y28" s="47">
        <f t="shared" si="14"/>
        <v>8.377830867767333E-12</v>
      </c>
      <c r="Z28" s="43">
        <f t="shared" si="2"/>
        <v>-8.377830867767333E-12</v>
      </c>
      <c r="AA28" s="378">
        <f t="shared" si="15"/>
        <v>2.1782360256195068E-10</v>
      </c>
      <c r="AB28" s="525">
        <f t="shared" si="16"/>
        <v>22</v>
      </c>
      <c r="AC28" s="400">
        <f>AC27</f>
        <v>0.04</v>
      </c>
      <c r="AD28" s="43">
        <f>IF(AB28&gt;'Test de compensation'!$G$128,0,'Calculs détaillés'!AD27)</f>
        <v>0</v>
      </c>
      <c r="AE28" s="47">
        <f t="shared" si="17"/>
        <v>0</v>
      </c>
      <c r="AF28" s="43">
        <f t="shared" si="3"/>
        <v>0</v>
      </c>
      <c r="AG28" s="43">
        <f t="shared" si="18"/>
        <v>0</v>
      </c>
      <c r="AH28" s="147">
        <f t="shared" si="4"/>
        <v>0</v>
      </c>
      <c r="AI28" s="140">
        <f t="shared" si="19"/>
        <v>-1.9821480684540653E-10</v>
      </c>
      <c r="AJ28" s="282">
        <v>0</v>
      </c>
      <c r="AK28" s="284">
        <v>0</v>
      </c>
      <c r="AL28" s="511"/>
      <c r="AM28" s="568"/>
      <c r="AN28" s="298">
        <v>0</v>
      </c>
      <c r="AO28" s="255">
        <v>0</v>
      </c>
      <c r="AP28" s="210">
        <v>0</v>
      </c>
      <c r="AQ28" s="139">
        <f t="shared" si="24"/>
        <v>0</v>
      </c>
      <c r="AR28" s="303">
        <f>IF(A28&gt;'Test de compensation'!$G$125,0,'Calculs détaillés'!AR27)</f>
        <v>0</v>
      </c>
      <c r="AS28" s="508"/>
      <c r="AT28" s="508"/>
      <c r="AU28" s="43"/>
    </row>
    <row r="29" spans="1:47" ht="12.75">
      <c r="A29" s="44">
        <v>23</v>
      </c>
      <c r="B29" s="306">
        <f>B28</f>
        <v>0.017</v>
      </c>
      <c r="C29" s="182">
        <f>IF(A29&gt;'Test de compensation'!$G$125,0,C28+(C28*B28))</f>
        <v>0</v>
      </c>
      <c r="D29" s="43">
        <f>IF(A29&gt;'Test de compensation'!$D$146,0,'Calculs détaillés'!D28)</f>
        <v>0</v>
      </c>
      <c r="E29" s="43">
        <f>-(C29+D29)*E2</f>
        <v>0</v>
      </c>
      <c r="F29" s="225">
        <v>0</v>
      </c>
      <c r="G29" s="225">
        <v>0</v>
      </c>
      <c r="H29" s="43">
        <f>IF(A29&gt;'Test de compensation'!$D$146,0,H28+H28*B28)</f>
        <v>0</v>
      </c>
      <c r="I29" s="141">
        <f t="shared" si="6"/>
        <v>0</v>
      </c>
      <c r="J29" s="525">
        <f t="shared" si="7"/>
        <v>23</v>
      </c>
      <c r="K29" s="400">
        <f t="shared" si="8"/>
        <v>0.031</v>
      </c>
      <c r="L29" s="43">
        <f>IF(A29&gt;'Test de compensation'!$G$125,0,'Calculs détaillés'!L28)</f>
        <v>0</v>
      </c>
      <c r="M29" s="47">
        <f t="shared" si="9"/>
        <v>-2.1769829784170725E-10</v>
      </c>
      <c r="N29" s="43">
        <f t="shared" si="0"/>
        <v>2.1769829784170725E-10</v>
      </c>
      <c r="O29" s="378">
        <f t="shared" si="10"/>
        <v>-7.2402240346709735E-09</v>
      </c>
      <c r="P29" s="525">
        <f t="shared" si="11"/>
        <v>23</v>
      </c>
      <c r="Q29" s="137">
        <f>Q28</f>
        <v>0.022</v>
      </c>
      <c r="R29" s="43">
        <f>IF(P29&gt;'Test de compensation'!$G$126,0,'Calculs détaillés'!R28)</f>
        <v>0</v>
      </c>
      <c r="S29" s="47">
        <f t="shared" si="21"/>
        <v>4.660248984803431E-12</v>
      </c>
      <c r="T29" s="43">
        <f t="shared" si="1"/>
        <v>-4.660248984803431E-12</v>
      </c>
      <c r="U29" s="378">
        <f t="shared" si="12"/>
        <v>2.164897482940503E-10</v>
      </c>
      <c r="V29" s="525">
        <f t="shared" si="13"/>
        <v>23</v>
      </c>
      <c r="W29" s="137">
        <f>W28</f>
        <v>0.04</v>
      </c>
      <c r="X29" s="43">
        <f>IF(V29&gt;'Test de compensation'!$G$127,0,'Calculs détaillés'!X28)</f>
        <v>0</v>
      </c>
      <c r="Y29" s="47">
        <f t="shared" si="14"/>
        <v>8.712944102478028E-12</v>
      </c>
      <c r="Z29" s="43">
        <f t="shared" si="2"/>
        <v>-8.712944102478028E-12</v>
      </c>
      <c r="AA29" s="378">
        <f t="shared" si="15"/>
        <v>2.265365466644287E-10</v>
      </c>
      <c r="AB29" s="525">
        <f t="shared" si="16"/>
        <v>23</v>
      </c>
      <c r="AC29" s="400">
        <f>AC28</f>
        <v>0.04</v>
      </c>
      <c r="AD29" s="43">
        <f>IF(AB29&gt;'Test de compensation'!$G$128,0,'Calculs détaillés'!AD28)</f>
        <v>0</v>
      </c>
      <c r="AE29" s="47">
        <f t="shared" si="17"/>
        <v>0</v>
      </c>
      <c r="AF29" s="43">
        <f t="shared" si="3"/>
        <v>0</v>
      </c>
      <c r="AG29" s="43">
        <f t="shared" si="18"/>
        <v>0</v>
      </c>
      <c r="AH29" s="147">
        <f t="shared" si="4"/>
        <v>0</v>
      </c>
      <c r="AI29" s="140">
        <f t="shared" si="19"/>
        <v>-2.043251047544258E-10</v>
      </c>
      <c r="AJ29" s="282">
        <v>0</v>
      </c>
      <c r="AK29" s="284">
        <v>0</v>
      </c>
      <c r="AL29" s="511"/>
      <c r="AM29" s="568"/>
      <c r="AN29" s="298">
        <v>0</v>
      </c>
      <c r="AO29" s="255">
        <v>0</v>
      </c>
      <c r="AP29" s="210">
        <v>0</v>
      </c>
      <c r="AQ29" s="139">
        <f t="shared" si="24"/>
        <v>0</v>
      </c>
      <c r="AR29" s="303">
        <f>IF(A29&gt;'Test de compensation'!$G$125,0,'Calculs détaillés'!AR28)</f>
        <v>0</v>
      </c>
      <c r="AS29" s="508"/>
      <c r="AT29" s="508"/>
      <c r="AU29" s="43"/>
    </row>
    <row r="30" spans="1:47" ht="12.75">
      <c r="A30" s="44">
        <v>24</v>
      </c>
      <c r="B30" s="306">
        <f>B29</f>
        <v>0.017</v>
      </c>
      <c r="C30" s="182">
        <f>IF(A30&gt;'Test de compensation'!$G$125,0,C29+(C29*B29))</f>
        <v>0</v>
      </c>
      <c r="D30" s="43">
        <f>IF(A30&gt;'Test de compensation'!$D$146,0,'Calculs détaillés'!D29)</f>
        <v>0</v>
      </c>
      <c r="E30" s="43">
        <f>-(C30+D30)*E2</f>
        <v>0</v>
      </c>
      <c r="F30" s="225">
        <v>0</v>
      </c>
      <c r="G30" s="225">
        <v>0</v>
      </c>
      <c r="H30" s="43">
        <f>IF(A30&gt;'Test de compensation'!$D$146,0,H29+H29*B29)</f>
        <v>0</v>
      </c>
      <c r="I30" s="141">
        <f t="shared" si="6"/>
        <v>0</v>
      </c>
      <c r="J30" s="525">
        <f t="shared" si="7"/>
        <v>24</v>
      </c>
      <c r="K30" s="400">
        <f t="shared" si="8"/>
        <v>0.031</v>
      </c>
      <c r="L30" s="43">
        <f>IF(A30&gt;'Test de compensation'!$G$125,0,'Calculs détaillés'!L29)</f>
        <v>0</v>
      </c>
      <c r="M30" s="47">
        <f t="shared" si="9"/>
        <v>-2.2444694507480018E-10</v>
      </c>
      <c r="N30" s="43">
        <f t="shared" si="0"/>
        <v>2.2444694507480018E-10</v>
      </c>
      <c r="O30" s="378">
        <f t="shared" si="10"/>
        <v>-7.464670979745773E-09</v>
      </c>
      <c r="P30" s="525">
        <f t="shared" si="11"/>
        <v>24</v>
      </c>
      <c r="Q30" s="137">
        <f>Q29</f>
        <v>0.022</v>
      </c>
      <c r="R30" s="43">
        <f>IF(P30&gt;'Test de compensation'!$G$126,0,'Calculs détaillés'!R29)</f>
        <v>0</v>
      </c>
      <c r="S30" s="47">
        <f t="shared" si="21"/>
        <v>4.762774462469106E-12</v>
      </c>
      <c r="T30" s="43">
        <f t="shared" si="1"/>
        <v>-4.762774462469106E-12</v>
      </c>
      <c r="U30" s="378">
        <f t="shared" si="12"/>
        <v>2.2125252275651941E-10</v>
      </c>
      <c r="V30" s="525">
        <f t="shared" si="13"/>
        <v>24</v>
      </c>
      <c r="W30" s="137">
        <f>W29</f>
        <v>0.04</v>
      </c>
      <c r="X30" s="43">
        <f>IF(V30&gt;'Test de compensation'!$G$127,0,'Calculs détaillés'!X29)</f>
        <v>0</v>
      </c>
      <c r="Y30" s="47">
        <f t="shared" si="14"/>
        <v>9.061461866577148E-12</v>
      </c>
      <c r="Z30" s="43">
        <f t="shared" si="2"/>
        <v>-9.061461866577148E-12</v>
      </c>
      <c r="AA30" s="378">
        <f t="shared" si="15"/>
        <v>2.3559800853100583E-10</v>
      </c>
      <c r="AB30" s="525">
        <f t="shared" si="16"/>
        <v>24</v>
      </c>
      <c r="AC30" s="400">
        <f>AC29</f>
        <v>0.04</v>
      </c>
      <c r="AD30" s="43">
        <f>IF(AB30&gt;'Test de compensation'!$G$128,0,'Calculs détaillés'!AD29)</f>
        <v>0</v>
      </c>
      <c r="AE30" s="47">
        <f t="shared" si="17"/>
        <v>0</v>
      </c>
      <c r="AF30" s="43">
        <f t="shared" si="3"/>
        <v>0</v>
      </c>
      <c r="AG30" s="43">
        <f t="shared" si="18"/>
        <v>0</v>
      </c>
      <c r="AH30" s="147">
        <f t="shared" si="4"/>
        <v>0</v>
      </c>
      <c r="AI30" s="140">
        <f t="shared" si="19"/>
        <v>-2.1062270874575391E-10</v>
      </c>
      <c r="AJ30" s="282">
        <v>0</v>
      </c>
      <c r="AK30" s="284">
        <v>0</v>
      </c>
      <c r="AL30" s="511"/>
      <c r="AM30" s="568"/>
      <c r="AN30" s="298">
        <v>0</v>
      </c>
      <c r="AO30" s="255">
        <v>0</v>
      </c>
      <c r="AP30" s="210">
        <v>0</v>
      </c>
      <c r="AQ30" s="139">
        <f t="shared" si="24"/>
        <v>0</v>
      </c>
      <c r="AR30" s="303">
        <f>IF(A30&gt;'Test de compensation'!$G$125,0,'Calculs détaillés'!AR29)</f>
        <v>0</v>
      </c>
      <c r="AS30" s="508"/>
      <c r="AT30" s="508"/>
      <c r="AU30" s="43"/>
    </row>
    <row r="31" spans="1:47" ht="13.5" thickBot="1">
      <c r="A31" s="44">
        <v>25</v>
      </c>
      <c r="B31" s="306">
        <f>B30</f>
        <v>0.017</v>
      </c>
      <c r="C31" s="182">
        <f>IF(A31&gt;'Test de compensation'!$G$125,0,C30+(C30*B30))</f>
        <v>0</v>
      </c>
      <c r="D31" s="43">
        <f>IF(A31&gt;'Test de compensation'!$D$146,0,'Calculs détaillés'!D30)</f>
        <v>0</v>
      </c>
      <c r="E31" s="43">
        <f>-(C31+D31)*E2</f>
        <v>0</v>
      </c>
      <c r="F31" s="225">
        <v>0</v>
      </c>
      <c r="G31" s="225">
        <v>0</v>
      </c>
      <c r="H31" s="43">
        <f>IF(A31&gt;'Test de compensation'!$D$146,0,H30+H30*B30)</f>
        <v>0</v>
      </c>
      <c r="I31" s="507">
        <f t="shared" si="6"/>
        <v>0</v>
      </c>
      <c r="J31" s="525">
        <f t="shared" si="7"/>
        <v>25</v>
      </c>
      <c r="K31" s="400">
        <f t="shared" si="8"/>
        <v>0.031</v>
      </c>
      <c r="L31" s="43">
        <f>IF(A31&gt;'Test de compensation'!$G$125,0,'Calculs détaillés'!L30)</f>
        <v>0</v>
      </c>
      <c r="M31" s="47">
        <f t="shared" si="9"/>
        <v>-2.3140480037211896E-10</v>
      </c>
      <c r="N31" s="43">
        <f t="shared" si="0"/>
        <v>2.3140480037211896E-10</v>
      </c>
      <c r="O31" s="378">
        <f t="shared" si="10"/>
        <v>-7.696075780117893E-09</v>
      </c>
      <c r="P31" s="525">
        <f t="shared" si="11"/>
        <v>25</v>
      </c>
      <c r="Q31" s="137">
        <f>Q30</f>
        <v>0.022</v>
      </c>
      <c r="R31" s="43">
        <f>IF(P31&gt;'Test de compensation'!$G$126,0,'Calculs détaillés'!R30)</f>
        <v>0</v>
      </c>
      <c r="S31" s="47">
        <f t="shared" si="21"/>
        <v>4.867555500643427E-12</v>
      </c>
      <c r="T31" s="43">
        <f t="shared" si="1"/>
        <v>-4.867555500643427E-12</v>
      </c>
      <c r="U31" s="378">
        <f t="shared" si="12"/>
        <v>2.2612007825716285E-10</v>
      </c>
      <c r="V31" s="525">
        <f t="shared" si="13"/>
        <v>25</v>
      </c>
      <c r="W31" s="137">
        <f>W30</f>
        <v>0.04</v>
      </c>
      <c r="X31" s="43">
        <f>IF(V31&gt;'Test de compensation'!$G$127,0,'Calculs détaillés'!X30)</f>
        <v>0</v>
      </c>
      <c r="Y31" s="47">
        <f t="shared" si="14"/>
        <v>9.423920341240234E-12</v>
      </c>
      <c r="Z31" s="43">
        <f t="shared" si="2"/>
        <v>-9.423920341240234E-12</v>
      </c>
      <c r="AA31" s="378">
        <f t="shared" si="15"/>
        <v>2.4502192887224606E-10</v>
      </c>
      <c r="AB31" s="564">
        <f t="shared" si="16"/>
        <v>25</v>
      </c>
      <c r="AC31" s="400">
        <f>AC30</f>
        <v>0.04</v>
      </c>
      <c r="AD31" s="43">
        <f>IF(AB31&gt;'Test de compensation'!$G$128,0,'Calculs détaillés'!AD30)</f>
        <v>0</v>
      </c>
      <c r="AE31" s="47">
        <f t="shared" si="17"/>
        <v>0</v>
      </c>
      <c r="AF31" s="43">
        <f t="shared" si="3"/>
        <v>0</v>
      </c>
      <c r="AG31" s="43">
        <f t="shared" si="18"/>
        <v>0</v>
      </c>
      <c r="AH31" s="147">
        <f t="shared" si="4"/>
        <v>0</v>
      </c>
      <c r="AI31" s="140">
        <f t="shared" si="19"/>
        <v>-2.171133245302353E-10</v>
      </c>
      <c r="AJ31" s="282">
        <v>0</v>
      </c>
      <c r="AK31" s="573">
        <v>0</v>
      </c>
      <c r="AL31" s="509"/>
      <c r="AM31" s="510"/>
      <c r="AN31" s="298">
        <v>0</v>
      </c>
      <c r="AO31" s="255">
        <v>0</v>
      </c>
      <c r="AP31" s="210">
        <v>0</v>
      </c>
      <c r="AQ31" s="572">
        <f t="shared" si="24"/>
        <v>0</v>
      </c>
      <c r="AR31" s="320">
        <f>IF(A31&gt;'Test de compensation'!$G$125,0,'Calculs détaillés'!AR30)</f>
        <v>0</v>
      </c>
      <c r="AS31" s="512"/>
      <c r="AT31" s="512"/>
      <c r="AU31" s="43"/>
    </row>
    <row r="32" spans="1:47" ht="13.5" thickBot="1">
      <c r="A32" s="208" t="s">
        <v>181</v>
      </c>
      <c r="B32" s="208"/>
      <c r="C32" s="289">
        <f aca="true" t="shared" si="25" ref="C32:H32">SUM(C7:C31)</f>
        <v>1218281.2884559007</v>
      </c>
      <c r="D32" s="288">
        <f t="shared" si="25"/>
        <v>831175.2000000001</v>
      </c>
      <c r="E32" s="288">
        <f t="shared" si="25"/>
        <v>-61483.69465367703</v>
      </c>
      <c r="F32" s="290">
        <f t="shared" si="25"/>
        <v>212856</v>
      </c>
      <c r="G32" s="290">
        <f t="shared" si="25"/>
        <v>-85142.40000000001</v>
      </c>
      <c r="H32" s="288">
        <f t="shared" si="25"/>
        <v>28301.538422723923</v>
      </c>
      <c r="I32" s="574">
        <f>SUM(I7:I26)</f>
        <v>2143987.932224948</v>
      </c>
      <c r="J32" s="526"/>
      <c r="K32" s="527"/>
      <c r="L32" s="288">
        <f>SUM(L7:L31)</f>
        <v>3414512.569147181</v>
      </c>
      <c r="M32" s="208">
        <f>SUM(M7:M31)</f>
        <v>897871.3591471739</v>
      </c>
      <c r="N32" s="288">
        <f t="shared" si="0"/>
        <v>2516641.2100000074</v>
      </c>
      <c r="O32" s="429" t="s">
        <v>151</v>
      </c>
      <c r="P32" s="441"/>
      <c r="Q32" s="425"/>
      <c r="R32" s="288">
        <f>SUM(R7:R31)</f>
        <v>327454.06502705807</v>
      </c>
      <c r="S32" s="208">
        <f>SUM(S7:S31)</f>
        <v>51103.05502705834</v>
      </c>
      <c r="T32" s="288">
        <f>SUM(T7:T26)</f>
        <v>276351.00999999983</v>
      </c>
      <c r="U32" s="429" t="s">
        <v>151</v>
      </c>
      <c r="V32" s="441"/>
      <c r="W32" s="425"/>
      <c r="X32" s="288">
        <f>SUM(X7:X31)</f>
        <v>166542.63141097556</v>
      </c>
      <c r="Y32" s="208">
        <f>SUM(Y7:Y31)</f>
        <v>43096.93141097581</v>
      </c>
      <c r="Z32" s="288">
        <f>SUM(Z7:Z31)</f>
        <v>123445.69999999975</v>
      </c>
      <c r="AA32" s="429" t="s">
        <v>151</v>
      </c>
      <c r="AB32" s="565" t="s">
        <v>151</v>
      </c>
      <c r="AC32" s="441"/>
      <c r="AD32" s="453">
        <f>SUM(AD7:AD31)</f>
        <v>0</v>
      </c>
      <c r="AE32" s="455">
        <f>SUM(AE7:AE31)</f>
        <v>0</v>
      </c>
      <c r="AF32" s="441"/>
      <c r="AG32" s="454">
        <f>SUM(AG7:AG31)</f>
        <v>0</v>
      </c>
      <c r="AH32" s="457">
        <f>SUM(AH7:AH31)</f>
        <v>3908509.265585214</v>
      </c>
      <c r="AI32" s="142">
        <f>SUM(AI7:AI31)</f>
        <v>992071.3455852082</v>
      </c>
      <c r="AJ32" s="280">
        <f>SUM(AJ7:AJ31)</f>
        <v>58328.7584</v>
      </c>
      <c r="AK32" s="319">
        <f>SUM(AK7:AK31)</f>
        <v>6302642.68</v>
      </c>
      <c r="AL32" s="319">
        <f>AH33+AJ32+AK32</f>
        <v>7353042.783985213</v>
      </c>
      <c r="AM32" s="319">
        <f>AL32-I32</f>
        <v>5209054.851760265</v>
      </c>
      <c r="AN32" s="242">
        <f>'Test de compensation'!C180</f>
        <v>3207862.04</v>
      </c>
      <c r="AO32" s="243">
        <f>'Test de compensation'!C182</f>
        <v>0</v>
      </c>
      <c r="AP32" s="243">
        <f>SUM(AP7:AP26)</f>
        <v>1575660.67</v>
      </c>
      <c r="AQ32" s="243">
        <f>AN32+AO32+AP32</f>
        <v>4783522.71</v>
      </c>
      <c r="AR32" s="319">
        <f>SUM(AR7:AR31)</f>
        <v>234241.5012678714</v>
      </c>
      <c r="AS32" s="318">
        <f>AM32+AR32</f>
        <v>5443296.353028137</v>
      </c>
      <c r="AT32" s="319">
        <f>AS32-AQ32</f>
        <v>659773.6430281373</v>
      </c>
      <c r="AU32" s="1"/>
    </row>
    <row r="33" spans="1:46" ht="13.5" thickBot="1">
      <c r="A33" s="57" t="s">
        <v>151</v>
      </c>
      <c r="B33" s="57"/>
      <c r="C33" s="57"/>
      <c r="D33" s="57"/>
      <c r="E33" s="57"/>
      <c r="F33" s="225"/>
      <c r="G33" s="225"/>
      <c r="H33" s="57"/>
      <c r="I33" s="98" t="s">
        <v>151</v>
      </c>
      <c r="J33" s="401"/>
      <c r="K33" s="401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25" t="s">
        <v>151</v>
      </c>
      <c r="AC33" s="57"/>
      <c r="AD33" s="613" t="s">
        <v>200</v>
      </c>
      <c r="AE33" s="613"/>
      <c r="AF33" s="613"/>
      <c r="AG33" s="614"/>
      <c r="AH33" s="138">
        <f>AH32-'Test de compensation'!D131</f>
        <v>992071.345585214</v>
      </c>
      <c r="AI33" s="138">
        <f>AE32+Y32+S32+M32</f>
        <v>992071.3455852082</v>
      </c>
      <c r="AJ33" s="98"/>
      <c r="AK33" s="98"/>
      <c r="AL33" s="292" t="s">
        <v>151</v>
      </c>
      <c r="AM33" s="174"/>
      <c r="AN33" s="621" t="s">
        <v>356</v>
      </c>
      <c r="AO33" s="622"/>
      <c r="AP33" s="623"/>
      <c r="AQ33" s="459">
        <f>AQ32/AD3*10%</f>
        <v>23917.613550000002</v>
      </c>
      <c r="AR33" s="43">
        <f>AR32-'Test de compensation'!D136</f>
        <v>55898.78126787141</v>
      </c>
      <c r="AS33" s="43" t="s">
        <v>151</v>
      </c>
      <c r="AT33" s="229" t="s">
        <v>151</v>
      </c>
    </row>
    <row r="34" spans="1:46" ht="12.75">
      <c r="A34" s="98" t="s">
        <v>70</v>
      </c>
      <c r="B34" s="57"/>
      <c r="C34" s="57"/>
      <c r="D34" s="57"/>
      <c r="E34" s="57"/>
      <c r="F34" s="225"/>
      <c r="G34" s="225"/>
      <c r="H34" s="57"/>
      <c r="I34" s="615" t="s">
        <v>151</v>
      </c>
      <c r="J34" s="615"/>
      <c r="K34" s="615"/>
      <c r="L34" s="61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 t="s">
        <v>151</v>
      </c>
      <c r="AB34" s="525" t="s">
        <v>151</v>
      </c>
      <c r="AC34" s="57"/>
      <c r="AD34" s="57"/>
      <c r="AE34" s="57"/>
      <c r="AF34" s="57"/>
      <c r="AG34" s="57" t="s">
        <v>151</v>
      </c>
      <c r="AH34" s="98"/>
      <c r="AI34" s="333" t="s">
        <v>151</v>
      </c>
      <c r="AJ34" s="172"/>
      <c r="AK34" s="172"/>
      <c r="AL34" s="172"/>
      <c r="AM34" s="172"/>
      <c r="AN34" s="172"/>
      <c r="AO34" s="172"/>
      <c r="AP34" s="172"/>
      <c r="AQ34" s="43" t="s">
        <v>151</v>
      </c>
      <c r="AS34" s="211" t="s">
        <v>151</v>
      </c>
      <c r="AT34" s="327" t="s">
        <v>151</v>
      </c>
    </row>
    <row r="35" spans="1:46" ht="13.5" thickBot="1">
      <c r="A35" s="98" t="s">
        <v>151</v>
      </c>
      <c r="B35" s="378"/>
      <c r="C35" s="342" t="s">
        <v>324</v>
      </c>
      <c r="D35" s="343"/>
      <c r="E35" s="343"/>
      <c r="F35" s="344"/>
      <c r="G35" s="344"/>
      <c r="H35" s="343"/>
      <c r="I35" s="317"/>
      <c r="J35" s="317"/>
      <c r="K35" s="379"/>
      <c r="L35" s="345" t="s">
        <v>115</v>
      </c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563" t="s">
        <v>151</v>
      </c>
      <c r="AC35" s="343"/>
      <c r="AD35" s="343"/>
      <c r="AE35" s="343"/>
      <c r="AF35" s="343"/>
      <c r="AG35" s="343"/>
      <c r="AH35" s="342"/>
      <c r="AI35" s="344"/>
      <c r="AJ35" s="346"/>
      <c r="AK35" s="346"/>
      <c r="AL35" s="172"/>
      <c r="AM35" s="380"/>
      <c r="AN35" s="347" t="s">
        <v>113</v>
      </c>
      <c r="AO35" s="346"/>
      <c r="AP35" s="346"/>
      <c r="AQ35" s="378"/>
      <c r="AR35" s="347" t="s">
        <v>245</v>
      </c>
      <c r="AS35" s="348"/>
      <c r="AT35" s="349"/>
    </row>
    <row r="36" spans="1:46" ht="13.5" thickBot="1">
      <c r="A36" s="335" t="s">
        <v>151</v>
      </c>
      <c r="B36" s="335"/>
      <c r="C36" s="335" t="s">
        <v>317</v>
      </c>
      <c r="D36" s="335" t="s">
        <v>151</v>
      </c>
      <c r="E36" s="335"/>
      <c r="F36" s="335"/>
      <c r="G36" s="335" t="s">
        <v>151</v>
      </c>
      <c r="H36" s="363"/>
      <c r="I36" s="438" t="s">
        <v>317</v>
      </c>
      <c r="J36" s="438"/>
      <c r="K36" s="336"/>
      <c r="L36" s="350" t="s">
        <v>317</v>
      </c>
      <c r="M36" s="335"/>
      <c r="N36" s="335"/>
      <c r="O36" s="335"/>
      <c r="P36" s="335"/>
      <c r="Q36" s="335"/>
      <c r="R36" s="335"/>
      <c r="S36" s="335" t="s">
        <v>317</v>
      </c>
      <c r="T36" s="335"/>
      <c r="U36" s="335"/>
      <c r="V36" s="335"/>
      <c r="W36" s="335"/>
      <c r="X36" s="335"/>
      <c r="Y36" s="335" t="s">
        <v>317</v>
      </c>
      <c r="Z36" s="335"/>
      <c r="AA36" s="335" t="s">
        <v>151</v>
      </c>
      <c r="AB36" s="335"/>
      <c r="AC36" s="335"/>
      <c r="AD36" s="335"/>
      <c r="AE36" s="335"/>
      <c r="AF36" s="335"/>
      <c r="AG36" s="335"/>
      <c r="AH36" s="335" t="s">
        <v>73</v>
      </c>
      <c r="AI36" s="337"/>
      <c r="AJ36" s="338"/>
      <c r="AK36" s="358"/>
      <c r="AL36" s="338" t="s">
        <v>317</v>
      </c>
      <c r="AM36" s="338"/>
      <c r="AN36" s="338" t="s">
        <v>317</v>
      </c>
      <c r="AO36" s="338"/>
      <c r="AP36" s="338"/>
      <c r="AQ36" s="361"/>
      <c r="AR36" s="362" t="s">
        <v>317</v>
      </c>
      <c r="AS36" s="9" t="s">
        <v>151</v>
      </c>
      <c r="AT36" s="363"/>
    </row>
    <row r="37" spans="1:46" ht="42" thickBot="1">
      <c r="A37" s="339" t="s">
        <v>151</v>
      </c>
      <c r="B37" s="339"/>
      <c r="C37" s="286" t="s">
        <v>198</v>
      </c>
      <c r="D37" s="286" t="s">
        <v>108</v>
      </c>
      <c r="E37" s="286" t="s">
        <v>114</v>
      </c>
      <c r="F37" s="287" t="s">
        <v>224</v>
      </c>
      <c r="G37" s="287" t="s">
        <v>268</v>
      </c>
      <c r="H37" s="364" t="s">
        <v>267</v>
      </c>
      <c r="I37" s="577" t="s">
        <v>207</v>
      </c>
      <c r="J37" s="326"/>
      <c r="K37" s="579"/>
      <c r="L37" s="57"/>
      <c r="M37" s="466" t="s">
        <v>316</v>
      </c>
      <c r="N37" s="57"/>
      <c r="O37" s="57"/>
      <c r="P37" s="57"/>
      <c r="Q37" s="57"/>
      <c r="R37" s="57"/>
      <c r="S37" s="466" t="s">
        <v>316</v>
      </c>
      <c r="T37" s="57"/>
      <c r="U37" s="57"/>
      <c r="V37" s="57"/>
      <c r="W37" s="57"/>
      <c r="X37" s="57"/>
      <c r="Y37" s="466" t="s">
        <v>316</v>
      </c>
      <c r="Z37" s="57"/>
      <c r="AA37" s="57"/>
      <c r="AB37" s="57"/>
      <c r="AC37" s="57"/>
      <c r="AD37" s="57"/>
      <c r="AE37" s="466" t="s">
        <v>316</v>
      </c>
      <c r="AF37" s="57"/>
      <c r="AG37" s="57"/>
      <c r="AH37" s="619" t="s">
        <v>387</v>
      </c>
      <c r="AI37" s="620"/>
      <c r="AJ37" s="285" t="s">
        <v>134</v>
      </c>
      <c r="AK37" s="360" t="s">
        <v>135</v>
      </c>
      <c r="AL37" s="372" t="s">
        <v>210</v>
      </c>
      <c r="AM37" s="373" t="s">
        <v>306</v>
      </c>
      <c r="AN37" s="285" t="s">
        <v>321</v>
      </c>
      <c r="AO37" s="285" t="s">
        <v>116</v>
      </c>
      <c r="AP37" s="285" t="s">
        <v>75</v>
      </c>
      <c r="AQ37" s="376" t="s">
        <v>292</v>
      </c>
      <c r="AR37" s="372" t="s">
        <v>156</v>
      </c>
      <c r="AS37" s="373" t="s">
        <v>157</v>
      </c>
      <c r="AT37" s="377" t="s">
        <v>133</v>
      </c>
    </row>
    <row r="38" spans="1:46" ht="13.5" thickBot="1">
      <c r="A38" s="340" t="s">
        <v>151</v>
      </c>
      <c r="B38" s="340"/>
      <c r="C38" s="244">
        <f>NPV(D2,C7:C31)</f>
        <v>1015845.869510398</v>
      </c>
      <c r="D38" s="244">
        <f>NPV(D2,D7:D31)</f>
        <v>699636.2769751144</v>
      </c>
      <c r="E38" s="244">
        <f>NPV(D2,E7:E31)</f>
        <v>-51464.46439456536</v>
      </c>
      <c r="F38" s="244">
        <f>F32</f>
        <v>212856</v>
      </c>
      <c r="G38" s="244">
        <f>G32</f>
        <v>-85142.40000000001</v>
      </c>
      <c r="H38" s="244">
        <f>NPV(D2,H7:H31)</f>
        <v>23598.820058997084</v>
      </c>
      <c r="I38" s="359">
        <f>C38+D38+E38+F38+G38+H38</f>
        <v>1815330.102149944</v>
      </c>
      <c r="J38" s="578"/>
      <c r="K38" s="467"/>
      <c r="L38" s="370" t="s">
        <v>151</v>
      </c>
      <c r="M38" s="528">
        <f>NPV(D2,M7:M31)</f>
        <v>791612.381730188</v>
      </c>
      <c r="N38" s="402" t="s">
        <v>151</v>
      </c>
      <c r="O38" s="452"/>
      <c r="P38" s="524"/>
      <c r="Q38" s="370"/>
      <c r="R38" s="175" t="s">
        <v>151</v>
      </c>
      <c r="S38" s="402">
        <f>NPV(D2,S7:S31)</f>
        <v>46425.516923609786</v>
      </c>
      <c r="T38" s="175"/>
      <c r="U38" s="452"/>
      <c r="V38" s="524"/>
      <c r="W38" s="370"/>
      <c r="X38" s="175" t="s">
        <v>151</v>
      </c>
      <c r="Y38" s="402">
        <f>NPV(D2,Y7:Y31)</f>
        <v>39082.344349479325</v>
      </c>
      <c r="Z38" s="175"/>
      <c r="AA38" s="447" t="s">
        <v>151</v>
      </c>
      <c r="AB38" s="524"/>
      <c r="AC38" s="176"/>
      <c r="AD38" s="175" t="s">
        <v>151</v>
      </c>
      <c r="AE38" s="402">
        <f>NPV(D2,AE7:AE31)</f>
        <v>0</v>
      </c>
      <c r="AF38" s="175"/>
      <c r="AG38" s="175" t="s">
        <v>151</v>
      </c>
      <c r="AH38" s="243">
        <f>AE38+Y38+S38+M38</f>
        <v>877120.2430032771</v>
      </c>
      <c r="AI38" s="243">
        <f>NPV(D2,AI7:AI31)</f>
        <v>877120.243003277</v>
      </c>
      <c r="AJ38" s="293">
        <f>AJ32</f>
        <v>58328.7584</v>
      </c>
      <c r="AK38" s="294">
        <f>AK32</f>
        <v>6302642.68</v>
      </c>
      <c r="AL38" s="374">
        <f>AK38+AH38+AJ38</f>
        <v>7238091.6814032765</v>
      </c>
      <c r="AM38" s="375">
        <f>AL38-I38</f>
        <v>5422761.579253333</v>
      </c>
      <c r="AN38" s="371">
        <f>AN32</f>
        <v>3207862.04</v>
      </c>
      <c r="AO38" s="294">
        <f>AO32</f>
        <v>0</v>
      </c>
      <c r="AP38" s="294">
        <f>NPV(D2,AP7:AP31)</f>
        <v>1523423.9849790535</v>
      </c>
      <c r="AQ38" s="359">
        <f>AN38+AO38+AP38</f>
        <v>4731286.024979053</v>
      </c>
      <c r="AR38" s="497">
        <f>NPV(D2,AR7:AR31)</f>
        <v>197171.2484445098</v>
      </c>
      <c r="AS38" s="498">
        <f>AM38+AR38</f>
        <v>5619932.827697842</v>
      </c>
      <c r="AT38" s="499">
        <f>AS38-AQ38</f>
        <v>888646.8027187893</v>
      </c>
    </row>
    <row r="39" spans="1:46" ht="12.75">
      <c r="A39" s="626" t="s">
        <v>151</v>
      </c>
      <c r="B39" s="626"/>
      <c r="C39" s="627"/>
      <c r="D39" s="627"/>
      <c r="E39" s="468"/>
      <c r="F39" s="468"/>
      <c r="G39" s="468"/>
      <c r="H39" s="468"/>
      <c r="I39" s="468" t="s">
        <v>151</v>
      </c>
      <c r="J39" s="468"/>
      <c r="K39" s="468"/>
      <c r="L39" s="451" t="s">
        <v>151</v>
      </c>
      <c r="M39" s="450"/>
      <c r="N39" s="450"/>
      <c r="O39" s="450"/>
      <c r="P39" s="451"/>
      <c r="Q39" s="451"/>
      <c r="R39" s="450" t="s">
        <v>151</v>
      </c>
      <c r="S39" s="450"/>
      <c r="T39" s="450"/>
      <c r="U39" s="450"/>
      <c r="V39" s="450"/>
      <c r="W39" s="450"/>
      <c r="X39" s="450" t="s">
        <v>151</v>
      </c>
      <c r="Y39" s="450"/>
      <c r="Z39" s="450"/>
      <c r="AA39" s="450" t="s">
        <v>151</v>
      </c>
      <c r="AB39" s="450"/>
      <c r="AC39" s="450"/>
      <c r="AD39" s="450" t="s">
        <v>151</v>
      </c>
      <c r="AE39" s="450"/>
      <c r="AF39" s="450"/>
      <c r="AG39" s="449" t="s">
        <v>151</v>
      </c>
      <c r="AH39" s="448" t="s">
        <v>151</v>
      </c>
      <c r="AI39" s="446" t="s">
        <v>151</v>
      </c>
      <c r="AJ39" s="501"/>
      <c r="AK39" s="502"/>
      <c r="AL39" s="502" t="s">
        <v>151</v>
      </c>
      <c r="AM39" s="502" t="s">
        <v>151</v>
      </c>
      <c r="AN39" s="624" t="s">
        <v>74</v>
      </c>
      <c r="AO39" s="625"/>
      <c r="AP39" s="625"/>
      <c r="AQ39" s="341">
        <f>AQ38/'Calculs détaillés'!R3*0.1</f>
        <v>23656.43012489527</v>
      </c>
      <c r="AR39" s="385">
        <f>AR38-'Test de compensation'!D136</f>
        <v>18828.528444509808</v>
      </c>
      <c r="AS39" s="500" t="s">
        <v>151</v>
      </c>
      <c r="AT39" s="500" t="s">
        <v>151</v>
      </c>
    </row>
    <row r="40" spans="12:35" ht="12.75">
      <c r="L40" s="258"/>
      <c r="Q40" s="258"/>
      <c r="S40" s="258"/>
      <c r="T40" s="258"/>
      <c r="U40" s="258"/>
      <c r="V40" s="258"/>
      <c r="W40" s="258"/>
      <c r="X40" s="258"/>
      <c r="Y40" s="258"/>
      <c r="Z40" s="258"/>
      <c r="AD40" s="258"/>
      <c r="AF40" s="258"/>
      <c r="AG40" s="258"/>
      <c r="AH40" s="258"/>
      <c r="AI40" s="258"/>
    </row>
    <row r="41" spans="1:8" ht="13.5">
      <c r="A41" s="314" t="s">
        <v>151</v>
      </c>
      <c r="B41" t="s">
        <v>151</v>
      </c>
      <c r="H41" s="314" t="s">
        <v>151</v>
      </c>
    </row>
    <row r="42" spans="1:17" ht="45" customHeight="1">
      <c r="A42" s="609" t="s">
        <v>151</v>
      </c>
      <c r="B42" s="609"/>
      <c r="C42" s="609"/>
      <c r="D42" s="609"/>
      <c r="E42" s="609"/>
      <c r="H42" s="609" t="s">
        <v>151</v>
      </c>
      <c r="I42" s="609"/>
      <c r="J42" s="609"/>
      <c r="K42" s="609"/>
      <c r="L42" s="609"/>
      <c r="M42" s="397"/>
      <c r="N42" s="397"/>
      <c r="O42" s="397"/>
      <c r="P42" s="397"/>
      <c r="Q42" s="397"/>
    </row>
    <row r="43" spans="1:44" ht="12.75">
      <c r="A43" t="s">
        <v>151</v>
      </c>
      <c r="E43" s="307" t="s">
        <v>151</v>
      </c>
      <c r="H43" s="307" t="s">
        <v>151</v>
      </c>
      <c r="M43" s="312"/>
      <c r="N43" s="312"/>
      <c r="O43" s="312"/>
      <c r="P43" s="312"/>
      <c r="Q43" s="312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R43" s="258"/>
    </row>
    <row r="44" spans="1:35" ht="12.75">
      <c r="A44" t="s">
        <v>151</v>
      </c>
      <c r="E44" s="308" t="s">
        <v>151</v>
      </c>
      <c r="H44" s="307" t="s">
        <v>151</v>
      </c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</row>
    <row r="45" spans="1:35" ht="12.75">
      <c r="A45" s="2" t="s">
        <v>151</v>
      </c>
      <c r="E45" s="312" t="s">
        <v>151</v>
      </c>
      <c r="H45" s="307" t="s">
        <v>151</v>
      </c>
      <c r="M45" s="309"/>
      <c r="N45" s="309"/>
      <c r="O45" s="309"/>
      <c r="P45" s="309"/>
      <c r="Q45" s="309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</row>
    <row r="46" spans="1:35" ht="12.75">
      <c r="A46" t="s">
        <v>151</v>
      </c>
      <c r="E46" s="309" t="s">
        <v>151</v>
      </c>
      <c r="H46" s="307" t="s">
        <v>151</v>
      </c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</row>
    <row r="47" spans="1:35" ht="12.75">
      <c r="A47" t="s">
        <v>151</v>
      </c>
      <c r="E47" s="307" t="s">
        <v>151</v>
      </c>
      <c r="H47" s="307" t="s">
        <v>151</v>
      </c>
      <c r="M47" s="311"/>
      <c r="N47" s="311"/>
      <c r="O47" s="311"/>
      <c r="P47" s="311"/>
      <c r="Q47" s="311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</row>
    <row r="48" spans="1:35" ht="12.75">
      <c r="A48" t="s">
        <v>151</v>
      </c>
      <c r="D48" s="311" t="s">
        <v>151</v>
      </c>
      <c r="E48" s="313" t="s">
        <v>151</v>
      </c>
      <c r="H48" s="307" t="s">
        <v>151</v>
      </c>
      <c r="M48" s="312"/>
      <c r="N48" s="312"/>
      <c r="O48" s="312"/>
      <c r="P48" s="312"/>
      <c r="Q48" s="312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</row>
    <row r="49" spans="1:35" ht="12.75">
      <c r="A49" t="s">
        <v>151</v>
      </c>
      <c r="H49" s="307" t="s">
        <v>151</v>
      </c>
      <c r="M49" s="315"/>
      <c r="N49" s="315"/>
      <c r="O49" s="315"/>
      <c r="P49" s="315"/>
      <c r="Q49" s="315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</row>
    <row r="50" spans="1:35" ht="12.75">
      <c r="A50" s="328" t="s">
        <v>151</v>
      </c>
      <c r="B50" s="323" t="s">
        <v>151</v>
      </c>
      <c r="C50" s="323" t="s">
        <v>151</v>
      </c>
      <c r="D50" s="323" t="s">
        <v>151</v>
      </c>
      <c r="E50" s="323" t="s">
        <v>151</v>
      </c>
      <c r="H50" s="321" t="s">
        <v>151</v>
      </c>
      <c r="I50" s="322"/>
      <c r="J50" s="322"/>
      <c r="K50" s="322"/>
      <c r="L50" s="323"/>
      <c r="M50" s="398"/>
      <c r="N50" s="398"/>
      <c r="O50" s="398"/>
      <c r="P50" s="398"/>
      <c r="Q50" s="398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</row>
    <row r="51" spans="1:35" ht="12.75">
      <c r="A51" s="329" t="s">
        <v>151</v>
      </c>
      <c r="B51" s="310" t="s">
        <v>151</v>
      </c>
      <c r="C51" s="332" t="s">
        <v>151</v>
      </c>
      <c r="D51" s="310" t="s">
        <v>151</v>
      </c>
      <c r="E51" s="330" t="s">
        <v>151</v>
      </c>
      <c r="F51" s="307"/>
      <c r="G51" s="307"/>
      <c r="H51" s="324" t="s">
        <v>151</v>
      </c>
      <c r="I51" s="325"/>
      <c r="J51" s="399"/>
      <c r="K51" s="399"/>
      <c r="L51" s="258"/>
      <c r="M51" s="399"/>
      <c r="N51" s="399"/>
      <c r="O51" s="399"/>
      <c r="P51" s="399"/>
      <c r="Q51" s="399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</row>
    <row r="52" spans="1:35" ht="12.75">
      <c r="A52" s="329" t="s">
        <v>151</v>
      </c>
      <c r="B52" s="310" t="str">
        <f>B51</f>
        <v> </v>
      </c>
      <c r="C52" s="332" t="s">
        <v>151</v>
      </c>
      <c r="D52" s="310" t="s">
        <v>151</v>
      </c>
      <c r="E52" s="330" t="s">
        <v>151</v>
      </c>
      <c r="F52" s="307"/>
      <c r="G52" s="307"/>
      <c r="H52" s="324" t="s">
        <v>151</v>
      </c>
      <c r="I52" s="325"/>
      <c r="J52" s="399"/>
      <c r="K52" s="399"/>
      <c r="L52" s="258"/>
      <c r="M52" s="399"/>
      <c r="N52" s="399"/>
      <c r="O52" s="399"/>
      <c r="P52" s="399"/>
      <c r="Q52" s="399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</row>
    <row r="53" spans="1:35" ht="12.75">
      <c r="A53" s="329" t="s">
        <v>151</v>
      </c>
      <c r="B53" s="310" t="str">
        <f aca="true" t="shared" si="26" ref="B53:B70">B52</f>
        <v> </v>
      </c>
      <c r="C53" s="332" t="s">
        <v>151</v>
      </c>
      <c r="D53" s="310" t="s">
        <v>151</v>
      </c>
      <c r="E53" s="330" t="s">
        <v>151</v>
      </c>
      <c r="F53" s="307"/>
      <c r="G53" s="307"/>
      <c r="H53" s="324" t="s">
        <v>151</v>
      </c>
      <c r="I53" s="325"/>
      <c r="J53" s="399"/>
      <c r="K53" s="399"/>
      <c r="L53" s="258"/>
      <c r="M53" s="399"/>
      <c r="N53" s="399"/>
      <c r="O53" s="399"/>
      <c r="P53" s="399"/>
      <c r="Q53" s="399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</row>
    <row r="54" spans="1:35" ht="12.75">
      <c r="A54" s="329" t="s">
        <v>151</v>
      </c>
      <c r="B54" s="310" t="str">
        <f t="shared" si="26"/>
        <v> </v>
      </c>
      <c r="C54" s="332" t="s">
        <v>151</v>
      </c>
      <c r="D54" s="310" t="s">
        <v>151</v>
      </c>
      <c r="E54" s="330" t="s">
        <v>151</v>
      </c>
      <c r="F54" s="307"/>
      <c r="G54" s="307"/>
      <c r="H54" s="324" t="s">
        <v>151</v>
      </c>
      <c r="I54" s="325"/>
      <c r="J54" s="399"/>
      <c r="K54" s="399"/>
      <c r="L54" s="258"/>
      <c r="M54" s="399"/>
      <c r="N54" s="399"/>
      <c r="O54" s="399"/>
      <c r="P54" s="399"/>
      <c r="Q54" s="399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</row>
    <row r="55" spans="1:35" ht="12.75">
      <c r="A55" s="329" t="s">
        <v>151</v>
      </c>
      <c r="B55" s="310" t="str">
        <f t="shared" si="26"/>
        <v> </v>
      </c>
      <c r="C55" s="332" t="s">
        <v>151</v>
      </c>
      <c r="D55" s="310" t="s">
        <v>151</v>
      </c>
      <c r="E55" s="330" t="s">
        <v>151</v>
      </c>
      <c r="F55" s="307"/>
      <c r="G55" s="307"/>
      <c r="H55" s="324" t="s">
        <v>151</v>
      </c>
      <c r="I55" s="325"/>
      <c r="J55" s="399"/>
      <c r="K55" s="399"/>
      <c r="L55" s="258"/>
      <c r="M55" s="399"/>
      <c r="N55" s="399"/>
      <c r="O55" s="399"/>
      <c r="P55" s="399"/>
      <c r="Q55" s="399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</row>
    <row r="56" spans="1:35" ht="12.75">
      <c r="A56" s="329" t="s">
        <v>151</v>
      </c>
      <c r="B56" s="310" t="str">
        <f t="shared" si="26"/>
        <v> </v>
      </c>
      <c r="C56" s="332" t="s">
        <v>151</v>
      </c>
      <c r="D56" s="310" t="s">
        <v>151</v>
      </c>
      <c r="E56" s="330" t="s">
        <v>151</v>
      </c>
      <c r="F56" s="307"/>
      <c r="G56" s="307"/>
      <c r="H56" s="324" t="s">
        <v>151</v>
      </c>
      <c r="I56" s="325"/>
      <c r="J56" s="399"/>
      <c r="K56" s="399"/>
      <c r="L56" s="258"/>
      <c r="M56" s="399"/>
      <c r="N56" s="399"/>
      <c r="O56" s="399"/>
      <c r="P56" s="399"/>
      <c r="Q56" s="399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</row>
    <row r="57" spans="1:35" ht="12.75">
      <c r="A57" s="329" t="s">
        <v>151</v>
      </c>
      <c r="B57" s="310" t="str">
        <f t="shared" si="26"/>
        <v> </v>
      </c>
      <c r="C57" s="332" t="s">
        <v>151</v>
      </c>
      <c r="D57" s="310" t="s">
        <v>151</v>
      </c>
      <c r="E57" s="330" t="s">
        <v>151</v>
      </c>
      <c r="F57" s="307"/>
      <c r="G57" s="307"/>
      <c r="H57" s="324" t="s">
        <v>151</v>
      </c>
      <c r="I57" s="325"/>
      <c r="J57" s="399"/>
      <c r="K57" s="399"/>
      <c r="L57" s="258"/>
      <c r="M57" s="399"/>
      <c r="N57" s="399"/>
      <c r="O57" s="399"/>
      <c r="P57" s="399"/>
      <c r="Q57" s="399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</row>
    <row r="58" spans="1:35" ht="12.75">
      <c r="A58" s="329" t="s">
        <v>151</v>
      </c>
      <c r="B58" s="310" t="str">
        <f t="shared" si="26"/>
        <v> </v>
      </c>
      <c r="C58" s="332" t="s">
        <v>151</v>
      </c>
      <c r="D58" s="310" t="s">
        <v>151</v>
      </c>
      <c r="E58" s="330" t="s">
        <v>151</v>
      </c>
      <c r="F58" s="307"/>
      <c r="G58" s="307"/>
      <c r="H58" s="324" t="s">
        <v>151</v>
      </c>
      <c r="I58" s="325"/>
      <c r="J58" s="399"/>
      <c r="K58" s="399"/>
      <c r="L58" s="258"/>
      <c r="M58" s="399"/>
      <c r="N58" s="399"/>
      <c r="O58" s="399"/>
      <c r="P58" s="399"/>
      <c r="Q58" s="399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</row>
    <row r="59" spans="1:35" ht="12.75">
      <c r="A59" s="329" t="s">
        <v>151</v>
      </c>
      <c r="B59" s="310" t="str">
        <f t="shared" si="26"/>
        <v> </v>
      </c>
      <c r="C59" s="332" t="s">
        <v>151</v>
      </c>
      <c r="D59" s="310" t="s">
        <v>151</v>
      </c>
      <c r="E59" s="330" t="s">
        <v>151</v>
      </c>
      <c r="F59" s="307"/>
      <c r="G59" s="307"/>
      <c r="H59" s="324" t="s">
        <v>151</v>
      </c>
      <c r="I59" s="325"/>
      <c r="J59" s="399"/>
      <c r="K59" s="399"/>
      <c r="L59" s="258"/>
      <c r="M59" s="399"/>
      <c r="N59" s="399"/>
      <c r="O59" s="399"/>
      <c r="P59" s="399"/>
      <c r="Q59" s="399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</row>
    <row r="60" spans="1:35" ht="12.75">
      <c r="A60" s="329" t="s">
        <v>151</v>
      </c>
      <c r="B60" s="310" t="str">
        <f t="shared" si="26"/>
        <v> </v>
      </c>
      <c r="C60" s="332" t="s">
        <v>151</v>
      </c>
      <c r="D60" s="310" t="s">
        <v>151</v>
      </c>
      <c r="E60" s="330" t="s">
        <v>151</v>
      </c>
      <c r="F60" s="307"/>
      <c r="G60" s="307"/>
      <c r="H60" s="324" t="s">
        <v>151</v>
      </c>
      <c r="I60" s="325"/>
      <c r="J60" s="399"/>
      <c r="K60" s="399"/>
      <c r="L60" s="258"/>
      <c r="M60" s="399"/>
      <c r="N60" s="399"/>
      <c r="O60" s="399"/>
      <c r="P60" s="399"/>
      <c r="Q60" s="399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</row>
    <row r="61" spans="1:35" ht="12.75">
      <c r="A61" s="329" t="s">
        <v>151</v>
      </c>
      <c r="B61" s="310" t="str">
        <f t="shared" si="26"/>
        <v> </v>
      </c>
      <c r="C61" s="332" t="s">
        <v>151</v>
      </c>
      <c r="D61" s="310" t="s">
        <v>151</v>
      </c>
      <c r="E61" s="330" t="s">
        <v>151</v>
      </c>
      <c r="F61" s="307"/>
      <c r="G61" s="307"/>
      <c r="H61" s="324" t="s">
        <v>151</v>
      </c>
      <c r="I61" s="325"/>
      <c r="J61" s="399"/>
      <c r="K61" s="399"/>
      <c r="L61" s="258"/>
      <c r="M61" s="399"/>
      <c r="N61" s="399"/>
      <c r="O61" s="399"/>
      <c r="P61" s="399"/>
      <c r="Q61" s="399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</row>
    <row r="62" spans="1:35" ht="12.75">
      <c r="A62" s="329" t="s">
        <v>151</v>
      </c>
      <c r="B62" s="310" t="str">
        <f t="shared" si="26"/>
        <v> </v>
      </c>
      <c r="C62" s="332" t="s">
        <v>151</v>
      </c>
      <c r="D62" s="310" t="s">
        <v>151</v>
      </c>
      <c r="E62" s="330" t="s">
        <v>151</v>
      </c>
      <c r="F62" s="307"/>
      <c r="G62" s="307"/>
      <c r="H62" s="324" t="s">
        <v>151</v>
      </c>
      <c r="I62" s="325"/>
      <c r="J62" s="399"/>
      <c r="K62" s="399"/>
      <c r="L62" s="258"/>
      <c r="M62" s="399"/>
      <c r="N62" s="399"/>
      <c r="O62" s="399"/>
      <c r="P62" s="399"/>
      <c r="Q62" s="399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</row>
    <row r="63" spans="1:35" ht="12.75">
      <c r="A63" s="329" t="s">
        <v>151</v>
      </c>
      <c r="B63" s="310" t="str">
        <f t="shared" si="26"/>
        <v> </v>
      </c>
      <c r="C63" s="332" t="s">
        <v>151</v>
      </c>
      <c r="D63" s="310" t="s">
        <v>151</v>
      </c>
      <c r="E63" s="330" t="s">
        <v>151</v>
      </c>
      <c r="F63" s="307"/>
      <c r="G63" s="307"/>
      <c r="H63" s="324" t="s">
        <v>151</v>
      </c>
      <c r="I63" s="325"/>
      <c r="J63" s="399"/>
      <c r="K63" s="399"/>
      <c r="L63" s="258"/>
      <c r="M63" s="399"/>
      <c r="N63" s="399"/>
      <c r="O63" s="399"/>
      <c r="P63" s="399"/>
      <c r="Q63" s="399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</row>
    <row r="64" spans="1:35" ht="12.75">
      <c r="A64" s="329" t="s">
        <v>151</v>
      </c>
      <c r="B64" s="310" t="str">
        <f t="shared" si="26"/>
        <v> </v>
      </c>
      <c r="C64" s="332" t="s">
        <v>151</v>
      </c>
      <c r="D64" s="310" t="s">
        <v>151</v>
      </c>
      <c r="E64" s="330" t="s">
        <v>151</v>
      </c>
      <c r="F64" s="307"/>
      <c r="G64" s="307"/>
      <c r="H64" s="324" t="s">
        <v>151</v>
      </c>
      <c r="I64" s="325"/>
      <c r="J64" s="399"/>
      <c r="K64" s="399"/>
      <c r="L64" s="258"/>
      <c r="M64" s="399"/>
      <c r="N64" s="399"/>
      <c r="O64" s="399"/>
      <c r="P64" s="399"/>
      <c r="Q64" s="399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</row>
    <row r="65" spans="1:35" ht="12.75">
      <c r="A65" s="329" t="s">
        <v>151</v>
      </c>
      <c r="B65" s="310" t="str">
        <f t="shared" si="26"/>
        <v> </v>
      </c>
      <c r="C65" s="332" t="s">
        <v>151</v>
      </c>
      <c r="D65" s="310" t="s">
        <v>151</v>
      </c>
      <c r="E65" s="330" t="s">
        <v>151</v>
      </c>
      <c r="F65" s="307"/>
      <c r="G65" s="307"/>
      <c r="H65" s="324" t="s">
        <v>151</v>
      </c>
      <c r="I65" s="325"/>
      <c r="J65" s="399"/>
      <c r="K65" s="399"/>
      <c r="L65" s="258"/>
      <c r="M65" s="399"/>
      <c r="N65" s="399"/>
      <c r="O65" s="399"/>
      <c r="P65" s="399"/>
      <c r="Q65" s="399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</row>
    <row r="66" spans="1:35" ht="12.75">
      <c r="A66" s="329" t="s">
        <v>151</v>
      </c>
      <c r="B66" s="310" t="str">
        <f t="shared" si="26"/>
        <v> </v>
      </c>
      <c r="C66" s="332" t="s">
        <v>151</v>
      </c>
      <c r="D66" s="310" t="s">
        <v>151</v>
      </c>
      <c r="E66" s="330" t="s">
        <v>151</v>
      </c>
      <c r="F66" s="307"/>
      <c r="G66" s="307"/>
      <c r="H66" s="324" t="s">
        <v>151</v>
      </c>
      <c r="I66" s="325"/>
      <c r="J66" s="399"/>
      <c r="K66" s="399"/>
      <c r="L66" s="258"/>
      <c r="M66" s="399"/>
      <c r="N66" s="399"/>
      <c r="O66" s="399"/>
      <c r="P66" s="399"/>
      <c r="Q66" s="399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</row>
    <row r="67" spans="1:35" ht="12.75">
      <c r="A67" s="329" t="s">
        <v>151</v>
      </c>
      <c r="B67" s="310" t="str">
        <f t="shared" si="26"/>
        <v> </v>
      </c>
      <c r="C67" s="332" t="s">
        <v>151</v>
      </c>
      <c r="D67" s="310" t="s">
        <v>151</v>
      </c>
      <c r="E67" s="330" t="s">
        <v>151</v>
      </c>
      <c r="F67" s="307"/>
      <c r="G67" s="307"/>
      <c r="H67" s="324" t="s">
        <v>151</v>
      </c>
      <c r="I67" s="325"/>
      <c r="J67" s="399"/>
      <c r="K67" s="399"/>
      <c r="L67" s="258"/>
      <c r="M67" s="399"/>
      <c r="N67" s="399"/>
      <c r="O67" s="399"/>
      <c r="P67" s="399"/>
      <c r="Q67" s="399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</row>
    <row r="68" spans="1:35" ht="12.75">
      <c r="A68" s="329" t="s">
        <v>151</v>
      </c>
      <c r="B68" s="310" t="str">
        <f t="shared" si="26"/>
        <v> </v>
      </c>
      <c r="C68" s="332" t="s">
        <v>151</v>
      </c>
      <c r="D68" s="310" t="s">
        <v>151</v>
      </c>
      <c r="E68" s="330" t="s">
        <v>151</v>
      </c>
      <c r="F68" s="307"/>
      <c r="G68" s="307"/>
      <c r="H68" s="324" t="s">
        <v>151</v>
      </c>
      <c r="I68" s="325"/>
      <c r="J68" s="399"/>
      <c r="K68" s="399"/>
      <c r="L68" s="258"/>
      <c r="M68" s="399"/>
      <c r="N68" s="399"/>
      <c r="O68" s="399"/>
      <c r="P68" s="399"/>
      <c r="Q68" s="399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</row>
    <row r="69" spans="1:35" ht="12.75">
      <c r="A69" s="329" t="s">
        <v>151</v>
      </c>
      <c r="B69" s="310" t="str">
        <f t="shared" si="26"/>
        <v> </v>
      </c>
      <c r="C69" s="332" t="s">
        <v>151</v>
      </c>
      <c r="D69" s="310" t="s">
        <v>151</v>
      </c>
      <c r="E69" s="330" t="s">
        <v>151</v>
      </c>
      <c r="F69" s="307"/>
      <c r="G69" s="307"/>
      <c r="H69" s="324" t="s">
        <v>151</v>
      </c>
      <c r="I69" s="325"/>
      <c r="J69" s="399"/>
      <c r="K69" s="399"/>
      <c r="L69" s="258"/>
      <c r="M69" s="399"/>
      <c r="N69" s="399"/>
      <c r="O69" s="399"/>
      <c r="P69" s="399"/>
      <c r="Q69" s="399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</row>
    <row r="70" spans="1:35" ht="12.75">
      <c r="A70" s="329" t="s">
        <v>151</v>
      </c>
      <c r="B70" s="310" t="str">
        <f t="shared" si="26"/>
        <v> </v>
      </c>
      <c r="C70" s="332" t="s">
        <v>151</v>
      </c>
      <c r="D70" s="310" t="s">
        <v>151</v>
      </c>
      <c r="E70" s="330" t="s">
        <v>151</v>
      </c>
      <c r="F70" s="307"/>
      <c r="G70" s="307"/>
      <c r="H70" s="324" t="s">
        <v>151</v>
      </c>
      <c r="I70" s="325"/>
      <c r="J70" s="325"/>
      <c r="K70" s="325"/>
      <c r="L70" s="323"/>
      <c r="M70" s="399"/>
      <c r="N70" s="399"/>
      <c r="O70" s="399"/>
      <c r="P70" s="399"/>
      <c r="Q70" s="399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</row>
    <row r="71" spans="1:35" ht="12.75">
      <c r="A71" s="331"/>
      <c r="B71" s="330"/>
      <c r="C71" s="330"/>
      <c r="D71" s="330"/>
      <c r="E71" s="330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  <c r="AI71" s="307"/>
    </row>
    <row r="72" spans="2:35" ht="12.75"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</row>
  </sheetData>
  <sheetProtection/>
  <mergeCells count="16">
    <mergeCell ref="C4:I4"/>
    <mergeCell ref="L4:AM4"/>
    <mergeCell ref="K5:O5"/>
    <mergeCell ref="Q5:U5"/>
    <mergeCell ref="W5:AA5"/>
    <mergeCell ref="AC5:AG5"/>
    <mergeCell ref="A42:E42"/>
    <mergeCell ref="H42:L42"/>
    <mergeCell ref="AN4:AQ4"/>
    <mergeCell ref="AD33:AG33"/>
    <mergeCell ref="I34:L34"/>
    <mergeCell ref="AH5:AI5"/>
    <mergeCell ref="AH37:AI37"/>
    <mergeCell ref="AN33:AP33"/>
    <mergeCell ref="AN39:AP39"/>
    <mergeCell ref="A39:D3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1.57421875" style="227" customWidth="1"/>
    <col min="7" max="7" width="11.57421875" style="1" customWidth="1"/>
    <col min="8" max="8" width="11.8515625" style="0" customWidth="1"/>
  </cols>
  <sheetData>
    <row r="1" spans="1:7" s="2" customFormat="1" ht="12.75">
      <c r="A1" s="236" t="s">
        <v>246</v>
      </c>
      <c r="B1" s="236"/>
      <c r="C1" s="236"/>
      <c r="D1" s="236"/>
      <c r="E1" s="267"/>
      <c r="F1" s="236"/>
      <c r="G1" t="s">
        <v>151</v>
      </c>
    </row>
    <row r="2" spans="1:7" s="2" customFormat="1" ht="12.75">
      <c r="A2" s="236" t="s">
        <v>140</v>
      </c>
      <c r="B2" s="236"/>
      <c r="C2" s="236"/>
      <c r="D2" s="236"/>
      <c r="E2" s="267"/>
      <c r="F2" s="236"/>
      <c r="G2" s="267"/>
    </row>
    <row r="3" spans="1:7" s="2" customFormat="1" ht="12.75">
      <c r="A3" s="236"/>
      <c r="B3" s="236"/>
      <c r="C3" s="236"/>
      <c r="D3" s="236"/>
      <c r="E3" s="236"/>
      <c r="F3" s="236"/>
      <c r="G3" s="228"/>
    </row>
    <row r="4" s="1" customFormat="1" ht="9.75">
      <c r="A4" s="228" t="s">
        <v>243</v>
      </c>
    </row>
    <row r="5" s="1" customFormat="1" ht="9.75">
      <c r="A5" s="6" t="s">
        <v>49</v>
      </c>
    </row>
    <row r="6" s="1" customFormat="1" ht="9.75">
      <c r="A6" s="6"/>
    </row>
    <row r="7" s="1" customFormat="1" ht="9.75">
      <c r="A7" s="228" t="s">
        <v>410</v>
      </c>
    </row>
    <row r="9" spans="1:6" s="228" customFormat="1" ht="9.75">
      <c r="A9" s="228" t="s">
        <v>250</v>
      </c>
      <c r="E9" s="163" t="s">
        <v>205</v>
      </c>
      <c r="F9" s="228" t="s">
        <v>151</v>
      </c>
    </row>
    <row r="10" spans="1:5" s="228" customFormat="1" ht="9.75">
      <c r="A10" s="228" t="s">
        <v>303</v>
      </c>
      <c r="E10" s="462" t="s">
        <v>290</v>
      </c>
    </row>
    <row r="11" s="228" customFormat="1" ht="9.75"/>
    <row r="12" spans="1:8" s="237" customFormat="1" ht="12.75">
      <c r="A12" s="228" t="s">
        <v>80</v>
      </c>
      <c r="B12" s="6"/>
      <c r="C12" s="6"/>
      <c r="D12" s="6"/>
      <c r="E12" s="6"/>
      <c r="F12" s="6"/>
      <c r="G12" s="6"/>
      <c r="H12" s="6"/>
    </row>
    <row r="13" spans="1:8" s="237" customFormat="1" ht="13.5" thickBot="1">
      <c r="A13" s="6"/>
      <c r="B13" s="6"/>
      <c r="C13" s="6"/>
      <c r="D13" s="6"/>
      <c r="E13" s="6"/>
      <c r="F13" s="6"/>
      <c r="G13" s="6"/>
      <c r="H13" s="6"/>
    </row>
    <row r="14" spans="1:8" ht="13.5" thickBot="1">
      <c r="A14" s="6" t="s">
        <v>388</v>
      </c>
      <c r="B14" s="6"/>
      <c r="C14" s="6"/>
      <c r="D14" s="6"/>
      <c r="E14" s="6"/>
      <c r="F14" s="6"/>
      <c r="G14" s="266">
        <f>'Test de compensation'!G125</f>
        <v>20</v>
      </c>
      <c r="H14" s="115" t="s">
        <v>237</v>
      </c>
    </row>
    <row r="15" spans="1:8" ht="12.75">
      <c r="A15" s="6"/>
      <c r="B15" s="6"/>
      <c r="C15" s="6"/>
      <c r="D15" s="6"/>
      <c r="E15" s="6"/>
      <c r="F15" s="6"/>
      <c r="G15" s="6"/>
      <c r="H15" s="6"/>
    </row>
    <row r="16" spans="1:8" s="2" customFormat="1" ht="12.75">
      <c r="A16" s="228" t="s">
        <v>419</v>
      </c>
      <c r="B16" s="228"/>
      <c r="C16" s="228"/>
      <c r="D16" s="228"/>
      <c r="E16" s="228"/>
      <c r="F16" s="228"/>
      <c r="G16" s="228"/>
      <c r="H16" s="228"/>
    </row>
    <row r="17" spans="1:8" ht="12.75">
      <c r="A17" s="6"/>
      <c r="B17" s="6" t="s">
        <v>304</v>
      </c>
      <c r="C17" s="6"/>
      <c r="D17" s="6"/>
      <c r="E17" s="6"/>
      <c r="F17" s="6"/>
      <c r="G17" s="229">
        <f>'Test de compensation'!D123</f>
        <v>178342.72</v>
      </c>
      <c r="H17" s="233">
        <f>G17/G20</f>
        <v>0.02829649863634662</v>
      </c>
    </row>
    <row r="18" spans="1:8" ht="12.75">
      <c r="A18" s="6"/>
      <c r="B18" s="6" t="s">
        <v>305</v>
      </c>
      <c r="C18" s="6"/>
      <c r="D18" s="6"/>
      <c r="E18" s="6"/>
      <c r="F18" s="6"/>
      <c r="G18" s="229">
        <f>'Test de compensation'!D131</f>
        <v>2916437.92</v>
      </c>
      <c r="H18" s="233">
        <f>G18/G20</f>
        <v>0.4627325501499</v>
      </c>
    </row>
    <row r="19" spans="1:13" ht="13.5" thickBot="1">
      <c r="A19" s="6"/>
      <c r="B19" s="6" t="s">
        <v>411</v>
      </c>
      <c r="C19" s="6"/>
      <c r="D19" s="6"/>
      <c r="E19" s="6"/>
      <c r="F19" s="6"/>
      <c r="G19" s="235">
        <f>'Test de compensation'!D122</f>
        <v>3207862.04</v>
      </c>
      <c r="H19" s="233">
        <f>G19/G20</f>
        <v>0.5089709512137535</v>
      </c>
      <c r="J19" t="s">
        <v>151</v>
      </c>
      <c r="K19" t="s">
        <v>151</v>
      </c>
      <c r="L19" t="s">
        <v>151</v>
      </c>
      <c r="M19" t="s">
        <v>151</v>
      </c>
    </row>
    <row r="20" spans="1:13" ht="13.5" thickBot="1">
      <c r="A20" s="6"/>
      <c r="B20" s="6" t="s">
        <v>247</v>
      </c>
      <c r="C20" s="6"/>
      <c r="D20" s="6"/>
      <c r="E20" s="6"/>
      <c r="F20" s="6"/>
      <c r="G20" s="138">
        <f>SUM(G17:G19)</f>
        <v>6302642.68</v>
      </c>
      <c r="H20" s="233">
        <f>SUM(H17:H19)</f>
        <v>1</v>
      </c>
      <c r="J20" t="s">
        <v>151</v>
      </c>
      <c r="K20" t="s">
        <v>151</v>
      </c>
      <c r="L20" t="s">
        <v>151</v>
      </c>
      <c r="M20" t="s">
        <v>151</v>
      </c>
    </row>
    <row r="21" spans="1:8" ht="12.75">
      <c r="A21" s="6"/>
      <c r="B21" s="6" t="s">
        <v>420</v>
      </c>
      <c r="C21" s="6"/>
      <c r="D21" s="6"/>
      <c r="E21" s="6"/>
      <c r="F21" s="6"/>
      <c r="G21" s="291">
        <f>'Test de compensation'!D81</f>
        <v>0.3811135940328945</v>
      </c>
      <c r="H21" s="233"/>
    </row>
    <row r="22" spans="1:8" ht="12.75">
      <c r="A22" s="6"/>
      <c r="B22" s="6"/>
      <c r="C22" s="6"/>
      <c r="D22" s="6"/>
      <c r="E22" s="6"/>
      <c r="F22" s="6"/>
      <c r="G22" s="98"/>
      <c r="H22" s="233"/>
    </row>
    <row r="23" spans="1:8" ht="13.5" thickBot="1">
      <c r="A23" s="6"/>
      <c r="B23" s="6"/>
      <c r="C23" s="6"/>
      <c r="D23" s="6"/>
      <c r="E23" s="6"/>
      <c r="F23" s="6"/>
      <c r="G23" s="229"/>
      <c r="H23" s="6"/>
    </row>
    <row r="24" spans="1:8" s="2" customFormat="1" ht="13.5" thickBot="1">
      <c r="A24" s="228" t="s">
        <v>144</v>
      </c>
      <c r="B24" s="228"/>
      <c r="C24" s="228"/>
      <c r="D24" s="228"/>
      <c r="E24" s="228"/>
      <c r="F24" s="228"/>
      <c r="G24" s="138">
        <f>G30-G37</f>
        <v>5422761.579253333</v>
      </c>
      <c r="H24" s="228"/>
    </row>
    <row r="25" spans="1:8" ht="12.75">
      <c r="A25" s="6" t="s">
        <v>76</v>
      </c>
      <c r="B25" s="6"/>
      <c r="C25" s="6"/>
      <c r="D25" s="6"/>
      <c r="E25" s="6"/>
      <c r="F25" s="6"/>
      <c r="G25" s="6"/>
      <c r="H25" s="6"/>
    </row>
    <row r="26" spans="1:8" s="2" customFormat="1" ht="12.75">
      <c r="A26" s="228" t="s">
        <v>421</v>
      </c>
      <c r="B26" s="228"/>
      <c r="C26" s="228"/>
      <c r="D26" s="228"/>
      <c r="E26" s="228"/>
      <c r="F26" s="228"/>
      <c r="G26" s="228"/>
      <c r="H26" s="228"/>
    </row>
    <row r="27" spans="1:8" ht="12.75">
      <c r="A27" s="6"/>
      <c r="B27" s="6" t="s">
        <v>31</v>
      </c>
      <c r="C27" s="6"/>
      <c r="D27" s="6"/>
      <c r="E27" s="6"/>
      <c r="F27" s="6"/>
      <c r="G27" s="229">
        <f>'Test de compensation'!D160</f>
        <v>6302642.68</v>
      </c>
      <c r="H27" s="233">
        <f>G27/G30</f>
        <v>0.8707602718259687</v>
      </c>
    </row>
    <row r="28" spans="1:8" ht="12.75">
      <c r="A28" s="6"/>
      <c r="B28" s="6" t="s">
        <v>32</v>
      </c>
      <c r="C28" s="6"/>
      <c r="D28" s="6"/>
      <c r="E28" s="6"/>
      <c r="F28" s="6"/>
      <c r="G28" s="229">
        <f>'Test de compensation'!D161</f>
        <v>877120.243003277</v>
      </c>
      <c r="H28" s="233">
        <f>G28/G30</f>
        <v>0.12118114575100634</v>
      </c>
    </row>
    <row r="29" spans="1:8" ht="13.5" thickBot="1">
      <c r="A29" s="6"/>
      <c r="B29" s="6" t="s">
        <v>81</v>
      </c>
      <c r="C29" s="6"/>
      <c r="D29" s="6"/>
      <c r="E29" s="6"/>
      <c r="F29" s="6"/>
      <c r="G29" s="235">
        <f>'Test de compensation'!D162</f>
        <v>58328.7584</v>
      </c>
      <c r="H29" s="233">
        <f>G29/G30</f>
        <v>0.008058582423025012</v>
      </c>
    </row>
    <row r="30" spans="1:8" ht="13.5" thickBot="1">
      <c r="A30" s="6"/>
      <c r="B30" s="6" t="s">
        <v>422</v>
      </c>
      <c r="C30" s="6"/>
      <c r="D30" s="6"/>
      <c r="E30" s="6"/>
      <c r="F30" s="6"/>
      <c r="G30" s="138">
        <f>'Test de compensation'!D163</f>
        <v>7238091.6814032765</v>
      </c>
      <c r="H30" s="233">
        <f>SUM(H27:H29)</f>
        <v>1</v>
      </c>
    </row>
    <row r="31" spans="1:8" s="2" customFormat="1" ht="12.75">
      <c r="A31" s="228" t="s">
        <v>423</v>
      </c>
      <c r="B31" s="228"/>
      <c r="C31" s="228"/>
      <c r="D31" s="228"/>
      <c r="E31" s="228"/>
      <c r="F31" s="228"/>
      <c r="G31" s="228"/>
      <c r="H31" s="234"/>
    </row>
    <row r="32" spans="1:8" ht="12.75">
      <c r="A32" s="6"/>
      <c r="B32" s="6" t="s">
        <v>424</v>
      </c>
      <c r="C32" s="6"/>
      <c r="D32" s="6"/>
      <c r="E32" s="6"/>
      <c r="F32" s="6"/>
      <c r="G32" s="229">
        <f>'Test de compensation'!C165</f>
        <v>1015845.869510398</v>
      </c>
      <c r="H32" s="233">
        <f>G32/G37</f>
        <v>0.559592918283735</v>
      </c>
    </row>
    <row r="33" spans="1:8" ht="12.75">
      <c r="A33" s="6"/>
      <c r="B33" s="6" t="s">
        <v>77</v>
      </c>
      <c r="C33" s="6"/>
      <c r="D33" s="6"/>
      <c r="E33" s="6"/>
      <c r="F33" s="6"/>
      <c r="G33" s="229">
        <f>'Test de compensation'!C166</f>
        <v>699636.2769751144</v>
      </c>
      <c r="H33" s="233">
        <f>G33/G37</f>
        <v>0.38540443754362713</v>
      </c>
    </row>
    <row r="34" spans="1:8" ht="12.75">
      <c r="A34" s="6"/>
      <c r="B34" s="6" t="s">
        <v>269</v>
      </c>
      <c r="C34" s="6"/>
      <c r="D34" s="6"/>
      <c r="E34" s="6"/>
      <c r="F34" s="6"/>
      <c r="G34" s="229">
        <f>'Calculs détaillés'!F38+'Calculs détaillés'!H38</f>
        <v>236454.82005899708</v>
      </c>
      <c r="H34" s="233">
        <f>G34/G37</f>
        <v>0.130254447815831</v>
      </c>
    </row>
    <row r="35" spans="1:8" ht="12.75">
      <c r="A35" s="6"/>
      <c r="B35" s="6" t="s">
        <v>94</v>
      </c>
      <c r="C35" s="6"/>
      <c r="D35" s="6"/>
      <c r="E35" s="6"/>
      <c r="F35" s="6"/>
      <c r="G35" s="229">
        <f>'Calculs détaillés'!G38</f>
        <v>-85142.40000000001</v>
      </c>
      <c r="H35" s="250">
        <f>G35/G37</f>
        <v>-0.0469018829683723</v>
      </c>
    </row>
    <row r="36" spans="1:8" ht="13.5" thickBot="1">
      <c r="A36" s="6"/>
      <c r="B36" s="6" t="s">
        <v>389</v>
      </c>
      <c r="C36" s="6"/>
      <c r="D36" s="6"/>
      <c r="E36" s="6"/>
      <c r="F36" s="6"/>
      <c r="G36" s="235">
        <f>'Test de compensation'!C170</f>
        <v>-51464.46439456536</v>
      </c>
      <c r="H36" s="233">
        <f>G36/G37</f>
        <v>-0.02834992067482086</v>
      </c>
    </row>
    <row r="37" spans="1:8" ht="13.5" thickBot="1">
      <c r="A37" s="6"/>
      <c r="B37" s="6" t="s">
        <v>142</v>
      </c>
      <c r="C37" s="6"/>
      <c r="D37" s="6"/>
      <c r="E37" s="6"/>
      <c r="F37" s="6"/>
      <c r="G37" s="138">
        <f>'Calculs détaillés'!I38</f>
        <v>1815330.102149944</v>
      </c>
      <c r="H37" s="233">
        <f>SUM(H32:H36)</f>
        <v>0.9999999999999999</v>
      </c>
    </row>
    <row r="38" spans="1:8" s="2" customFormat="1" ht="13.5" thickBot="1">
      <c r="A38" s="228" t="s">
        <v>307</v>
      </c>
      <c r="B38" s="228"/>
      <c r="C38" s="228"/>
      <c r="D38" s="228"/>
      <c r="E38" s="228"/>
      <c r="F38" s="228"/>
      <c r="G38" s="228"/>
      <c r="H38" s="234"/>
    </row>
    <row r="39" spans="1:8" ht="13.5" thickBot="1">
      <c r="A39" s="6"/>
      <c r="B39" s="6" t="s">
        <v>244</v>
      </c>
      <c r="C39" s="6"/>
      <c r="D39" s="6"/>
      <c r="E39" s="6"/>
      <c r="F39" s="6"/>
      <c r="G39" s="138">
        <f>'Calculs détaillés'!AR38</f>
        <v>197171.2484445098</v>
      </c>
      <c r="H39" s="233"/>
    </row>
    <row r="40" spans="1:8" ht="13.5" thickBot="1">
      <c r="A40" s="6"/>
      <c r="B40" s="211" t="s">
        <v>314</v>
      </c>
      <c r="C40" s="6"/>
      <c r="D40" s="6"/>
      <c r="E40" s="6"/>
      <c r="F40" s="6"/>
      <c r="G40" s="47"/>
      <c r="H40" s="233"/>
    </row>
    <row r="41" spans="1:8" ht="13.5" thickBot="1">
      <c r="A41" s="228" t="s">
        <v>109</v>
      </c>
      <c r="B41" s="211"/>
      <c r="C41" s="6"/>
      <c r="D41" s="6"/>
      <c r="E41" s="6"/>
      <c r="F41" s="6"/>
      <c r="G41" s="352">
        <f>G24+G39</f>
        <v>5619932.827697842</v>
      </c>
      <c r="H41" s="233"/>
    </row>
    <row r="42" spans="1:8" s="2" customFormat="1" ht="12.75">
      <c r="A42" s="228" t="s">
        <v>310</v>
      </c>
      <c r="B42" s="228"/>
      <c r="C42" s="228"/>
      <c r="D42" s="228"/>
      <c r="E42" s="228"/>
      <c r="F42" s="228"/>
      <c r="G42" s="228"/>
      <c r="H42" s="234"/>
    </row>
    <row r="43" spans="1:8" ht="12.75">
      <c r="A43" s="6"/>
      <c r="B43" s="6" t="s">
        <v>412</v>
      </c>
      <c r="C43" s="6"/>
      <c r="D43" s="6"/>
      <c r="E43" s="6"/>
      <c r="F43" s="6"/>
      <c r="G43" s="229">
        <f>'Test de compensation'!C180</f>
        <v>3207862.04</v>
      </c>
      <c r="H43" s="233">
        <f>G43/G46</f>
        <v>0.6780105922710945</v>
      </c>
    </row>
    <row r="44" spans="1:8" ht="12.75">
      <c r="A44" s="6"/>
      <c r="B44" s="6" t="s">
        <v>33</v>
      </c>
      <c r="C44" s="6"/>
      <c r="D44" s="6"/>
      <c r="E44" s="6"/>
      <c r="F44" s="6"/>
      <c r="G44" s="229">
        <f>'Test de compensation'!C181</f>
        <v>1523423.9849790535</v>
      </c>
      <c r="H44" s="233">
        <f>G44/G46</f>
        <v>0.3219894077289056</v>
      </c>
    </row>
    <row r="45" spans="1:8" ht="13.5" thickBot="1">
      <c r="A45" s="6"/>
      <c r="B45" s="6" t="s">
        <v>34</v>
      </c>
      <c r="C45" s="6"/>
      <c r="D45" s="6"/>
      <c r="E45" s="6"/>
      <c r="F45" s="6"/>
      <c r="G45" s="231">
        <f>'Test de compensation'!C182</f>
        <v>0</v>
      </c>
      <c r="H45" s="233">
        <f>G45/G46</f>
        <v>0</v>
      </c>
    </row>
    <row r="46" spans="1:8" ht="13.5" thickBot="1">
      <c r="A46" s="6" t="s">
        <v>151</v>
      </c>
      <c r="B46" s="6"/>
      <c r="C46" s="6"/>
      <c r="D46" s="6"/>
      <c r="E46" s="6"/>
      <c r="F46" s="6"/>
      <c r="G46" s="138">
        <f>'Calculs détaillés'!AQ38</f>
        <v>4731286.024979053</v>
      </c>
      <c r="H46" s="272">
        <f>SUM(H43:H45)</f>
        <v>1</v>
      </c>
    </row>
    <row r="47" spans="1:8" s="2" customFormat="1" ht="12.75">
      <c r="A47" s="228" t="s">
        <v>245</v>
      </c>
      <c r="B47" s="228"/>
      <c r="C47" s="228"/>
      <c r="D47" s="228"/>
      <c r="E47" s="228"/>
      <c r="F47" s="228"/>
      <c r="G47" s="47"/>
      <c r="H47" s="238"/>
    </row>
    <row r="48" spans="1:6" ht="12.75">
      <c r="A48" s="6" t="s">
        <v>292</v>
      </c>
      <c r="B48" s="6"/>
      <c r="C48" s="229">
        <f>'Test de compensation'!C183</f>
        <v>4731286.024979053</v>
      </c>
      <c r="D48" s="6"/>
      <c r="E48" s="6"/>
      <c r="F48" s="6"/>
    </row>
    <row r="49" spans="1:6" ht="12.75">
      <c r="A49" s="6" t="s">
        <v>222</v>
      </c>
      <c r="B49" s="6"/>
      <c r="C49" s="229" t="s">
        <v>151</v>
      </c>
      <c r="D49" s="229">
        <f>G24</f>
        <v>5422761.579253333</v>
      </c>
      <c r="E49" s="6"/>
      <c r="F49" s="6"/>
    </row>
    <row r="50" spans="1:6" ht="12.75">
      <c r="A50" s="6" t="s">
        <v>156</v>
      </c>
      <c r="B50" s="6"/>
      <c r="C50" s="235" t="s">
        <v>151</v>
      </c>
      <c r="D50" s="232">
        <f>G39</f>
        <v>197171.2484445098</v>
      </c>
      <c r="E50" s="6"/>
      <c r="F50" s="6"/>
    </row>
    <row r="51" spans="1:6" ht="13.5" thickBot="1">
      <c r="A51" s="6" t="s">
        <v>157</v>
      </c>
      <c r="B51" s="6"/>
      <c r="C51" s="235" t="s">
        <v>151</v>
      </c>
      <c r="D51" s="229">
        <f>SUM(D49:D50)</f>
        <v>5619932.827697842</v>
      </c>
      <c r="E51" s="6"/>
      <c r="F51" s="6"/>
    </row>
    <row r="52" spans="1:6" ht="13.5" thickBot="1">
      <c r="A52" s="228" t="s">
        <v>240</v>
      </c>
      <c r="B52" s="228"/>
      <c r="C52" s="138">
        <f>D51-C48</f>
        <v>888646.8027187893</v>
      </c>
      <c r="D52" s="6"/>
      <c r="E52" s="6" t="s">
        <v>95</v>
      </c>
      <c r="F52" s="6"/>
    </row>
    <row r="53" spans="1:6" ht="13.5" thickBot="1">
      <c r="A53" s="228"/>
      <c r="B53" s="228"/>
      <c r="C53" s="98"/>
      <c r="D53" s="6"/>
      <c r="E53" s="6" t="s">
        <v>260</v>
      </c>
      <c r="F53" s="6"/>
    </row>
    <row r="54" spans="1:6" ht="13.5" thickBot="1">
      <c r="A54" s="6" t="s">
        <v>241</v>
      </c>
      <c r="B54" s="6"/>
      <c r="C54" s="241">
        <f>'Test de compensation'!D192</f>
        <v>0.8418759031533094</v>
      </c>
      <c r="D54" s="635" t="s">
        <v>96</v>
      </c>
      <c r="E54" s="585"/>
      <c r="F54" s="585"/>
    </row>
    <row r="55" spans="1:6" ht="12.75">
      <c r="A55" s="6" t="s">
        <v>239</v>
      </c>
      <c r="B55" s="6"/>
      <c r="C55" s="230">
        <f>'Test de compensation'!D193</f>
        <v>0.19862623526361062</v>
      </c>
      <c r="D55" s="6" t="s">
        <v>293</v>
      </c>
      <c r="E55" s="6"/>
      <c r="F55" s="6"/>
    </row>
    <row r="56" spans="1:6" ht="13.5" thickBot="1">
      <c r="A56" s="6" t="s">
        <v>249</v>
      </c>
      <c r="B56" s="6"/>
      <c r="C56" s="230">
        <f>'Test de compensation'!D115/'Notice explicative'!C48</f>
        <v>0.23593291424501062</v>
      </c>
      <c r="D56" s="6" t="s">
        <v>294</v>
      </c>
      <c r="E56" s="6"/>
      <c r="F56" s="6"/>
    </row>
    <row r="57" spans="1:6" ht="13.5" thickBot="1">
      <c r="A57" s="6" t="s">
        <v>396</v>
      </c>
      <c r="B57" s="6"/>
      <c r="C57" s="230"/>
      <c r="D57" s="138">
        <f>'Calculs détaillés'!AQ39</f>
        <v>23656.43012489527</v>
      </c>
      <c r="E57" s="6" t="s">
        <v>397</v>
      </c>
      <c r="F57" s="6"/>
    </row>
    <row r="58" spans="1:6" ht="12.75">
      <c r="A58" s="6"/>
      <c r="B58" s="6"/>
      <c r="C58" s="230"/>
      <c r="D58" s="6"/>
      <c r="E58" s="6"/>
      <c r="F58" s="6"/>
    </row>
    <row r="59" spans="1:6" ht="12.75">
      <c r="A59" s="228" t="s">
        <v>138</v>
      </c>
      <c r="B59" s="6"/>
      <c r="C59" s="230"/>
      <c r="D59" s="6"/>
      <c r="E59" s="6"/>
      <c r="F59" s="6"/>
    </row>
    <row r="60" spans="1:6" ht="12.75">
      <c r="A60" s="6" t="s">
        <v>291</v>
      </c>
      <c r="B60" s="6"/>
      <c r="C60" s="230"/>
      <c r="D60" s="6"/>
      <c r="E60" s="228">
        <f>G14</f>
        <v>20</v>
      </c>
      <c r="F60" s="6" t="s">
        <v>237</v>
      </c>
    </row>
    <row r="61" spans="1:6" ht="12.75">
      <c r="A61" s="6" t="s">
        <v>390</v>
      </c>
      <c r="B61" s="6"/>
      <c r="C61" s="230"/>
      <c r="D61" s="6"/>
      <c r="E61" s="6"/>
      <c r="F61" s="6"/>
    </row>
    <row r="62" spans="1:6" ht="12.75">
      <c r="A62" s="6" t="s">
        <v>418</v>
      </c>
      <c r="B62" s="6"/>
      <c r="C62" s="230"/>
      <c r="D62" s="295">
        <f>'Test de compensation'!D81</f>
        <v>0.3811135940328945</v>
      </c>
      <c r="E62" s="6" t="s">
        <v>78</v>
      </c>
      <c r="F62" s="6"/>
    </row>
    <row r="63" spans="1:6" ht="12.75">
      <c r="A63" s="6" t="s">
        <v>391</v>
      </c>
      <c r="B63" s="6"/>
      <c r="C63" s="230"/>
      <c r="D63" s="6"/>
      <c r="E63" s="6"/>
      <c r="F63" s="6"/>
    </row>
    <row r="64" spans="1:6" ht="12.75">
      <c r="A64" s="6" t="s">
        <v>35</v>
      </c>
      <c r="B64" s="6"/>
      <c r="C64" s="230"/>
      <c r="D64" s="6"/>
      <c r="E64" s="6"/>
      <c r="F64" s="6"/>
    </row>
    <row r="65" spans="1:6" ht="12.75">
      <c r="A65" s="6" t="s">
        <v>36</v>
      </c>
      <c r="B65" s="6"/>
      <c r="C65" s="230"/>
      <c r="D65" s="6"/>
      <c r="E65" s="6"/>
      <c r="F65" s="6"/>
    </row>
    <row r="66" spans="1:6" ht="12.75">
      <c r="A66" s="6" t="s">
        <v>37</v>
      </c>
      <c r="B66" s="6"/>
      <c r="C66" s="230"/>
      <c r="D66" s="6"/>
      <c r="E66" s="6"/>
      <c r="F66" s="6"/>
    </row>
    <row r="67" spans="1:6" ht="12.75">
      <c r="A67" s="6" t="s">
        <v>38</v>
      </c>
      <c r="B67" s="6"/>
      <c r="C67" s="230"/>
      <c r="D67" s="6"/>
      <c r="E67" s="6"/>
      <c r="F67" s="6"/>
    </row>
    <row r="68" spans="1:6" ht="12.75">
      <c r="A68" s="6" t="s">
        <v>16</v>
      </c>
      <c r="B68" s="6"/>
      <c r="C68" s="230"/>
      <c r="D68" s="6"/>
      <c r="E68" s="6"/>
      <c r="F68" s="6"/>
    </row>
    <row r="69" spans="1:6" ht="12.75">
      <c r="A69" s="6" t="s">
        <v>39</v>
      </c>
      <c r="B69" s="6"/>
      <c r="C69" s="230"/>
      <c r="D69" s="6"/>
      <c r="E69" s="6"/>
      <c r="F69" s="6"/>
    </row>
    <row r="70" spans="1:6" ht="12.75">
      <c r="A70" s="6" t="s">
        <v>425</v>
      </c>
      <c r="B70" s="6"/>
      <c r="C70" s="230"/>
      <c r="D70" s="6"/>
      <c r="E70" s="6"/>
      <c r="F70" s="6"/>
    </row>
    <row r="71" spans="1:6" ht="12.75">
      <c r="A71" s="6" t="s">
        <v>40</v>
      </c>
      <c r="B71" s="6"/>
      <c r="C71" s="230"/>
      <c r="D71" s="6"/>
      <c r="E71" s="6"/>
      <c r="F71" s="6"/>
    </row>
    <row r="72" spans="1:6" ht="12.75">
      <c r="A72" s="6" t="s">
        <v>79</v>
      </c>
      <c r="B72" s="6"/>
      <c r="C72" s="230"/>
      <c r="D72" s="6"/>
      <c r="E72" s="6"/>
      <c r="F72" s="6"/>
    </row>
    <row r="73" spans="1:7" ht="13.5" thickBot="1">
      <c r="A73" s="245" t="s">
        <v>41</v>
      </c>
      <c r="B73" s="245"/>
      <c r="C73" s="245"/>
      <c r="D73" s="245"/>
      <c r="E73" s="245"/>
      <c r="F73" s="245"/>
      <c r="G73" s="246"/>
    </row>
    <row r="74" s="211" customFormat="1" ht="9.75">
      <c r="A74" s="211" t="s">
        <v>238</v>
      </c>
    </row>
    <row r="75" s="211" customFormat="1" ht="9.75">
      <c r="A75" s="211" t="s">
        <v>248</v>
      </c>
    </row>
    <row r="76" s="211" customFormat="1" ht="9.75">
      <c r="A76" s="211" t="s">
        <v>30</v>
      </c>
    </row>
    <row r="78" s="211" customFormat="1" ht="9.75">
      <c r="A78" s="211" t="s">
        <v>398</v>
      </c>
    </row>
    <row r="79" s="211" customFormat="1" ht="9.75">
      <c r="A79" s="211" t="s">
        <v>392</v>
      </c>
    </row>
    <row r="80" s="211" customFormat="1" ht="9.75">
      <c r="A80" s="211" t="s">
        <v>393</v>
      </c>
    </row>
    <row r="81" s="211" customFormat="1" ht="9.75">
      <c r="A81" s="211" t="s">
        <v>394</v>
      </c>
    </row>
    <row r="82" spans="1:8" s="211" customFormat="1" ht="9.75">
      <c r="A82" s="211" t="s">
        <v>395</v>
      </c>
      <c r="H82" s="571">
        <f>D57</f>
        <v>23656.43012489527</v>
      </c>
    </row>
    <row r="83" spans="1:8" s="211" customFormat="1" ht="9.75">
      <c r="A83" s="211" t="s">
        <v>399</v>
      </c>
      <c r="H83" s="503"/>
    </row>
    <row r="85" s="211" customFormat="1" ht="9.75">
      <c r="A85" s="211" t="s">
        <v>242</v>
      </c>
    </row>
  </sheetData>
  <sheetProtection/>
  <mergeCells count="1">
    <mergeCell ref="D54:F54"/>
  </mergeCells>
  <hyperlinks>
    <hyperlink ref="E9" r:id="rId1" display="2012/21/UE"/>
    <hyperlink ref="E10" r:id="rId2" display="OHLM - SEM"/>
  </hyperlinks>
  <printOptions/>
  <pageMargins left="0.75" right="0.75" top="1" bottom="1" header="0.4921259845" footer="0.4921259845"/>
  <pageSetup fitToHeight="0" fitToWidth="1" horizontalDpi="300" verticalDpi="300" orientation="portrait" paperSize="9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ghekiere</dc:creator>
  <cp:keywords/>
  <dc:description/>
  <cp:lastModifiedBy>Laurent GHEKIERE</cp:lastModifiedBy>
  <cp:lastPrinted>2013-05-28T09:20:53Z</cp:lastPrinted>
  <dcterms:created xsi:type="dcterms:W3CDTF">2010-09-11T16:32:23Z</dcterms:created>
  <dcterms:modified xsi:type="dcterms:W3CDTF">2013-11-13T21:08:58Z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