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6" windowWidth="6912" windowHeight="2640"/>
  </bookViews>
  <sheets>
    <sheet name="Test de compensation" sheetId="1" r:id="rId1"/>
    <sheet name="Calculs détaillés" sheetId="2" r:id="rId2"/>
    <sheet name="Notice explicative" sheetId="3" r:id="rId3"/>
  </sheets>
  <definedNames>
    <definedName name="_xlnm.Print_Area" localSheetId="0">'Test de compensation'!$A$138:$K$175</definedName>
  </definedNames>
  <calcPr calcId="114210"/>
</workbook>
</file>

<file path=xl/calcChain.xml><?xml version="1.0" encoding="utf-8"?>
<calcChain xmlns="http://schemas.openxmlformats.org/spreadsheetml/2006/main">
  <c r="G17" i="3"/>
  <c r="G18"/>
  <c r="G19"/>
  <c r="G20"/>
  <c r="G24"/>
  <c r="D2" i="2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34"/>
  <c r="M7"/>
  <c r="M8"/>
  <c r="M9"/>
  <c r="M10"/>
  <c r="M11"/>
  <c r="M12"/>
  <c r="M13"/>
  <c r="M14"/>
  <c r="M15"/>
  <c r="M16"/>
  <c r="M17"/>
  <c r="M18"/>
  <c r="M19"/>
  <c r="M20"/>
  <c r="M21"/>
  <c r="M34"/>
  <c r="O7"/>
  <c r="O8"/>
  <c r="O9"/>
  <c r="O10"/>
  <c r="O11"/>
  <c r="O12"/>
  <c r="O13"/>
  <c r="O14"/>
  <c r="O15"/>
  <c r="O16"/>
  <c r="O17"/>
  <c r="O18"/>
  <c r="O19"/>
  <c r="O20"/>
  <c r="O21"/>
  <c r="O34"/>
  <c r="Q7"/>
  <c r="Q8"/>
  <c r="Q9"/>
  <c r="Q10"/>
  <c r="Q11"/>
  <c r="Q12"/>
  <c r="Q13"/>
  <c r="Q14"/>
  <c r="Q15"/>
  <c r="Q16"/>
  <c r="Q17"/>
  <c r="Q18"/>
  <c r="Q19"/>
  <c r="Q20"/>
  <c r="Q21"/>
  <c r="Q34"/>
  <c r="S34"/>
  <c r="S35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34"/>
  <c r="L7"/>
  <c r="L8"/>
  <c r="L9"/>
  <c r="L10"/>
  <c r="L11"/>
  <c r="L12"/>
  <c r="L13"/>
  <c r="L14"/>
  <c r="L15"/>
  <c r="L16"/>
  <c r="L17"/>
  <c r="L18"/>
  <c r="L19"/>
  <c r="L20"/>
  <c r="L21"/>
  <c r="L34"/>
  <c r="N7"/>
  <c r="N8"/>
  <c r="N9"/>
  <c r="N10"/>
  <c r="N11"/>
  <c r="N12"/>
  <c r="N13"/>
  <c r="N14"/>
  <c r="N15"/>
  <c r="N16"/>
  <c r="N17"/>
  <c r="N18"/>
  <c r="N19"/>
  <c r="N20"/>
  <c r="N21"/>
  <c r="N34"/>
  <c r="P7"/>
  <c r="P8"/>
  <c r="P9"/>
  <c r="P10"/>
  <c r="P11"/>
  <c r="P12"/>
  <c r="P13"/>
  <c r="P14"/>
  <c r="P15"/>
  <c r="P16"/>
  <c r="P17"/>
  <c r="P18"/>
  <c r="P19"/>
  <c r="P20"/>
  <c r="P21"/>
  <c r="P34"/>
  <c r="R34"/>
  <c r="R35"/>
  <c r="T36"/>
  <c r="D124" i="1"/>
  <c r="W7" i="2"/>
  <c r="X7"/>
  <c r="Y7"/>
  <c r="W8"/>
  <c r="X8"/>
  <c r="Y8"/>
  <c r="W9"/>
  <c r="X9"/>
  <c r="Y9"/>
  <c r="W10"/>
  <c r="X10"/>
  <c r="Y10"/>
  <c r="W11"/>
  <c r="X11"/>
  <c r="Y11"/>
  <c r="W12"/>
  <c r="X12"/>
  <c r="Y12"/>
  <c r="W13"/>
  <c r="X13"/>
  <c r="Y13"/>
  <c r="W14"/>
  <c r="X14"/>
  <c r="Y14"/>
  <c r="W15"/>
  <c r="X15"/>
  <c r="Y15"/>
  <c r="W16"/>
  <c r="X16"/>
  <c r="Y16"/>
  <c r="W17"/>
  <c r="X17"/>
  <c r="Y17"/>
  <c r="W18"/>
  <c r="X18"/>
  <c r="Y18"/>
  <c r="W19"/>
  <c r="X19"/>
  <c r="Y19"/>
  <c r="W20"/>
  <c r="X20"/>
  <c r="Y20"/>
  <c r="W21"/>
  <c r="X21"/>
  <c r="Y21"/>
  <c r="W22"/>
  <c r="X22"/>
  <c r="Y22"/>
  <c r="W23"/>
  <c r="X23"/>
  <c r="Y23"/>
  <c r="W24"/>
  <c r="X24"/>
  <c r="Y24"/>
  <c r="W25"/>
  <c r="X25"/>
  <c r="Y25"/>
  <c r="W26"/>
  <c r="W34"/>
  <c r="X26"/>
  <c r="X27"/>
  <c r="Z7"/>
  <c r="Z27"/>
  <c r="Z34"/>
  <c r="AA7"/>
  <c r="AA27"/>
  <c r="AA34"/>
  <c r="AB34"/>
  <c r="G33" i="3"/>
  <c r="C7" i="2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34"/>
  <c r="D7"/>
  <c r="D8"/>
  <c r="D9"/>
  <c r="D10"/>
  <c r="D11"/>
  <c r="D12"/>
  <c r="D13"/>
  <c r="D14"/>
  <c r="D15"/>
  <c r="D16"/>
  <c r="D17"/>
  <c r="D18"/>
  <c r="D19"/>
  <c r="D20"/>
  <c r="D21"/>
  <c r="D34"/>
  <c r="E2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34"/>
  <c r="F7"/>
  <c r="F27"/>
  <c r="F34"/>
  <c r="G7"/>
  <c r="G27"/>
  <c r="G34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34"/>
  <c r="I34"/>
  <c r="G40" i="3"/>
  <c r="G27"/>
  <c r="AJ7" i="2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34"/>
  <c r="G42" i="3"/>
  <c r="G44"/>
  <c r="E120" i="1"/>
  <c r="D120"/>
  <c r="E114"/>
  <c r="E107"/>
  <c r="E119"/>
  <c r="E118"/>
  <c r="E117"/>
  <c r="D119"/>
  <c r="D118"/>
  <c r="D117"/>
  <c r="S7" i="2"/>
  <c r="R7"/>
  <c r="T7"/>
  <c r="S8"/>
  <c r="R8"/>
  <c r="T8"/>
  <c r="S9"/>
  <c r="R9"/>
  <c r="T9"/>
  <c r="S10"/>
  <c r="R10"/>
  <c r="T10"/>
  <c r="S11"/>
  <c r="R11"/>
  <c r="T11"/>
  <c r="S12"/>
  <c r="R12"/>
  <c r="T12"/>
  <c r="S13"/>
  <c r="R13"/>
  <c r="T13"/>
  <c r="S14"/>
  <c r="R14"/>
  <c r="T14"/>
  <c r="S15"/>
  <c r="R15"/>
  <c r="T15"/>
  <c r="S16"/>
  <c r="R16"/>
  <c r="T16"/>
  <c r="S17"/>
  <c r="R17"/>
  <c r="T17"/>
  <c r="S18"/>
  <c r="R18"/>
  <c r="T18"/>
  <c r="S19"/>
  <c r="R19"/>
  <c r="T19"/>
  <c r="S20"/>
  <c r="R20"/>
  <c r="T20"/>
  <c r="S21"/>
  <c r="R21"/>
  <c r="T21"/>
  <c r="Q22"/>
  <c r="S22"/>
  <c r="R22"/>
  <c r="T22"/>
  <c r="Q23"/>
  <c r="S23"/>
  <c r="R23"/>
  <c r="T23"/>
  <c r="Q24"/>
  <c r="S24"/>
  <c r="R24"/>
  <c r="T24"/>
  <c r="Q25"/>
  <c r="S25"/>
  <c r="R25"/>
  <c r="T25"/>
  <c r="Q26"/>
  <c r="S26"/>
  <c r="R26"/>
  <c r="T26"/>
  <c r="T35"/>
  <c r="K27"/>
  <c r="J27"/>
  <c r="K29"/>
  <c r="M27"/>
  <c r="L27"/>
  <c r="M29"/>
  <c r="O27"/>
  <c r="N27"/>
  <c r="O29"/>
  <c r="Q27"/>
  <c r="P27"/>
  <c r="Q29"/>
  <c r="S29"/>
  <c r="D69" i="3"/>
  <c r="AD27" i="2"/>
  <c r="AD34"/>
  <c r="AE27"/>
  <c r="AE34"/>
  <c r="AF8"/>
  <c r="AF34"/>
  <c r="AG7"/>
  <c r="AG27"/>
  <c r="AG34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34"/>
  <c r="AI34"/>
  <c r="W27"/>
  <c r="AB27"/>
  <c r="D145" i="1"/>
  <c r="D144"/>
  <c r="V27" i="2"/>
  <c r="Y26"/>
  <c r="D157" i="1"/>
  <c r="AJ27" i="2"/>
  <c r="T34"/>
  <c r="D23"/>
  <c r="D24"/>
  <c r="D25"/>
  <c r="D26"/>
  <c r="D130" i="1"/>
  <c r="K47" i="2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D143" i="1"/>
  <c r="D115"/>
  <c r="D125"/>
  <c r="L3" i="2"/>
  <c r="D77" i="1"/>
  <c r="D70"/>
  <c r="D78"/>
  <c r="D80"/>
  <c r="J92"/>
  <c r="J94"/>
  <c r="D94"/>
  <c r="J157"/>
  <c r="K157"/>
  <c r="D55" i="3"/>
  <c r="D107" i="1"/>
  <c r="C161"/>
  <c r="D92"/>
  <c r="AD7" i="2"/>
  <c r="AE7"/>
  <c r="G21" i="3"/>
  <c r="P3" i="2"/>
  <c r="AF12"/>
  <c r="AF13"/>
  <c r="AF14"/>
  <c r="AF15"/>
  <c r="G46" i="3"/>
  <c r="G49"/>
  <c r="C165" i="1"/>
  <c r="G50" i="3"/>
  <c r="G30"/>
  <c r="D68"/>
  <c r="G14"/>
  <c r="E65"/>
  <c r="J78" i="1"/>
  <c r="D74"/>
  <c r="D79"/>
  <c r="M23" i="2"/>
  <c r="O23"/>
  <c r="M24"/>
  <c r="O24"/>
  <c r="M25"/>
  <c r="O25"/>
  <c r="M26"/>
  <c r="O26"/>
  <c r="D114" i="1"/>
  <c r="E105"/>
  <c r="E111"/>
  <c r="E100"/>
  <c r="E104"/>
  <c r="E110"/>
  <c r="E98"/>
  <c r="E112"/>
  <c r="E99"/>
  <c r="E103"/>
  <c r="E108"/>
  <c r="E113"/>
  <c r="H19" i="3"/>
  <c r="AF16" i="2"/>
  <c r="AF17"/>
  <c r="AF18"/>
  <c r="AF19"/>
  <c r="AF20"/>
  <c r="AF21"/>
  <c r="AF22"/>
  <c r="AF23"/>
  <c r="AF24"/>
  <c r="AF25"/>
  <c r="AF26"/>
  <c r="E115" i="1"/>
  <c r="E102"/>
  <c r="E101"/>
  <c r="E106"/>
  <c r="C151"/>
  <c r="D82"/>
  <c r="D83"/>
  <c r="J95"/>
  <c r="D95"/>
  <c r="J93"/>
  <c r="D93"/>
  <c r="G32" i="3"/>
  <c r="L2" i="2"/>
  <c r="D84" i="1"/>
  <c r="G25" i="3"/>
  <c r="H18"/>
  <c r="H17"/>
  <c r="H20"/>
  <c r="D88" i="1"/>
  <c r="D89"/>
  <c r="K48" i="2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AF27"/>
  <c r="G38" i="3"/>
  <c r="C162" i="1"/>
  <c r="G47" i="3"/>
  <c r="I7" i="2"/>
  <c r="C149" i="1"/>
  <c r="G36" i="3"/>
  <c r="AI26" i="2"/>
  <c r="AI8"/>
  <c r="D27"/>
  <c r="AI22"/>
  <c r="AI11"/>
  <c r="C150" i="1"/>
  <c r="M35" i="2"/>
  <c r="AI18"/>
  <c r="AI17"/>
  <c r="P35"/>
  <c r="AI19"/>
  <c r="AI24"/>
  <c r="AI16"/>
  <c r="C152" i="1"/>
  <c r="G37" i="3"/>
  <c r="AI23" i="2"/>
  <c r="AI25"/>
  <c r="I8"/>
  <c r="Q35"/>
  <c r="AI20"/>
  <c r="L35"/>
  <c r="K35"/>
  <c r="O35"/>
  <c r="AI9"/>
  <c r="N35"/>
  <c r="J35"/>
  <c r="H27"/>
  <c r="AI21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AI13"/>
  <c r="AI12"/>
  <c r="I9"/>
  <c r="S27"/>
  <c r="R27"/>
  <c r="R28"/>
  <c r="AI10"/>
  <c r="I10"/>
  <c r="S28"/>
  <c r="T28"/>
  <c r="T27"/>
  <c r="D146" i="1"/>
  <c r="G31" i="3"/>
  <c r="AI15" i="2"/>
  <c r="AI14"/>
  <c r="AH27"/>
  <c r="AI27"/>
  <c r="AI28"/>
  <c r="AI7"/>
  <c r="H31" i="3"/>
  <c r="K170" i="1"/>
  <c r="D62" i="3"/>
  <c r="I11" i="2"/>
  <c r="G51" i="3"/>
  <c r="H30"/>
  <c r="H32"/>
  <c r="C164" i="1"/>
  <c r="H33" i="3"/>
  <c r="H50"/>
  <c r="H49"/>
  <c r="H46"/>
  <c r="H47"/>
  <c r="C166" i="1"/>
  <c r="D164"/>
  <c r="G48" i="3"/>
  <c r="H48"/>
  <c r="I12" i="2"/>
  <c r="I13"/>
  <c r="H51" i="3"/>
  <c r="D162" i="1"/>
  <c r="D173"/>
  <c r="C53" i="3"/>
  <c r="C61"/>
  <c r="D161" i="1"/>
  <c r="D163"/>
  <c r="D165"/>
  <c r="I14" i="2"/>
  <c r="I15"/>
  <c r="I16"/>
  <c r="I17"/>
  <c r="I18"/>
  <c r="I19"/>
  <c r="I20"/>
  <c r="I21"/>
  <c r="I22"/>
  <c r="I23"/>
  <c r="I24"/>
  <c r="I25"/>
  <c r="C27"/>
  <c r="C148" i="1"/>
  <c r="C153"/>
  <c r="G39" i="3"/>
  <c r="E27" i="2"/>
  <c r="I26"/>
  <c r="I27"/>
  <c r="AC27"/>
  <c r="AK27"/>
  <c r="AL27"/>
  <c r="G35" i="3"/>
  <c r="C154" i="1"/>
  <c r="D156"/>
  <c r="D158"/>
  <c r="D168"/>
  <c r="D172"/>
  <c r="C60" i="3"/>
  <c r="D171" i="1"/>
  <c r="C59" i="3"/>
  <c r="H35"/>
  <c r="AC34" i="2"/>
  <c r="AK34"/>
  <c r="AL34"/>
  <c r="H36" i="3"/>
  <c r="H38"/>
  <c r="H37"/>
  <c r="D54"/>
  <c r="D56"/>
  <c r="C57"/>
  <c r="H39"/>
  <c r="H40"/>
</calcChain>
</file>

<file path=xl/sharedStrings.xml><?xml version="1.0" encoding="utf-8"?>
<sst xmlns="http://schemas.openxmlformats.org/spreadsheetml/2006/main" count="850" uniqueCount="431">
  <si>
    <t>3ème ligne de quittance</t>
  </si>
  <si>
    <t>garantie / emprunt de référence (CGLLS)</t>
  </si>
  <si>
    <t>Les coûts nets + bénéfice raisonnable</t>
  </si>
  <si>
    <t>Calcul automatique des paramètres nécessaires au contrôle</t>
  </si>
  <si>
    <t>OHLM</t>
  </si>
  <si>
    <t>Réhabilitation thermique de 394 logements, adresse/lieu</t>
  </si>
  <si>
    <t>mesure du PO</t>
  </si>
  <si>
    <r>
      <t xml:space="preserve">. obligation de fournir cette offre dans le respect de loyers plafonds fixés par l'Etat : </t>
    </r>
    <r>
      <rPr>
        <b/>
        <sz val="8"/>
        <rFont val="Arial"/>
        <family val="2"/>
      </rPr>
      <t>OSP tarifaire</t>
    </r>
  </si>
  <si>
    <r>
      <t xml:space="preserve">. obligation d'attribution de cette offre à des ménages sous plafonds de revenus dans le respect d'une procédure spéficique : </t>
    </r>
    <r>
      <rPr>
        <b/>
        <sz val="8"/>
        <rFont val="Arial"/>
        <family val="2"/>
      </rPr>
      <t>OSP attribution - occupation sociale</t>
    </r>
  </si>
  <si>
    <r>
      <t xml:space="preserve">. obligation de réinvestir les résultats éventuels d'exploitation dans le financement de l'offre de logements à loyer modéré (construction - réhabilitation) : </t>
    </r>
    <r>
      <rPr>
        <b/>
        <sz val="8"/>
        <rFont val="Arial"/>
        <family val="2"/>
      </rPr>
      <t>OSP fonds revolving SIEG</t>
    </r>
  </si>
  <si>
    <r>
      <t xml:space="preserve">. obligation de participer à des mécanismes de garantie mutuelle à des fins de continuité financière du service public (CGLLS) : </t>
    </r>
    <r>
      <rPr>
        <b/>
        <sz val="8"/>
        <rFont val="Arial"/>
        <family val="2"/>
      </rPr>
      <t>OSP continuité financière - mutualisation</t>
    </r>
  </si>
  <si>
    <t>Compensation</t>
  </si>
  <si>
    <t>Non recettes (impayés et vacance)</t>
  </si>
  <si>
    <t>Coûts bruts et coûts nets</t>
  </si>
  <si>
    <t>ESB TVA taux réduit</t>
  </si>
  <si>
    <t>ESB dégrèvement TFPB</t>
  </si>
  <si>
    <t>ESB garantie publique gratuite</t>
  </si>
  <si>
    <t>ESB gain d'annuités prêts règlementés</t>
  </si>
  <si>
    <t>Décision initiale du 19 décembre 2005 abrogée par la décision 2012/21/UE qui est entrée en application au 31 janvier 2012</t>
  </si>
  <si>
    <t>UE - Décisions CE</t>
  </si>
  <si>
    <t>spécificités du SIEG du logement social, des hôpitaux et autres services sociaux concernés par la décision CE 2012/21/UE</t>
  </si>
  <si>
    <r>
      <t xml:space="preserve">exemption de notification </t>
    </r>
    <r>
      <rPr>
        <b/>
        <sz val="8"/>
        <rFont val="Arial"/>
        <family val="2"/>
      </rPr>
      <t>hors seuil</t>
    </r>
    <r>
      <rPr>
        <sz val="8"/>
        <rFont val="Arial"/>
        <family val="2"/>
      </rPr>
      <t xml:space="preserve"> des compensations de certains SIEG sociaux dont le logement social</t>
    </r>
  </si>
  <si>
    <t>considérant 11 et 12</t>
  </si>
  <si>
    <t>Acte législatif de mandat collectif des OHLM et SEM de la gestion du SIEG de logement social, complété par Convention d'Utilité Sociale (CUS) et Convention APL</t>
  </si>
  <si>
    <t>article L411 CCH définit les missions particulières imparties au SIEG de logement social, son périmètre et mandate les OHLM chargés de sa gestion</t>
  </si>
  <si>
    <r>
      <t xml:space="preserve">1- L'OHLM est chargé de la gestion du SIEG de logement social par plusieurs actes officiels de mandat qui le soumet à des </t>
    </r>
    <r>
      <rPr>
        <b/>
        <sz val="8"/>
        <rFont val="Arial"/>
        <family val="2"/>
      </rPr>
      <t>obligations de service public</t>
    </r>
    <r>
      <rPr>
        <sz val="8"/>
        <rFont val="Arial"/>
        <family val="2"/>
      </rPr>
      <t xml:space="preserve"> (OSP)</t>
    </r>
  </si>
  <si>
    <r>
      <t xml:space="preserve">. obligation de garantir une sécurité d'occupation aux ménages bénéficaires par des baux à durée indéterminée : </t>
    </r>
    <r>
      <rPr>
        <b/>
        <sz val="8"/>
        <rFont val="Arial"/>
        <family val="2"/>
      </rPr>
      <t>OSP sécurité d'occupation - continuité du service public</t>
    </r>
  </si>
  <si>
    <r>
      <t>sans plafonnement des coûts d'investissement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dans le respect des OSP qui s'imposent à l'OHLM</t>
    </r>
    <r>
      <rPr>
        <i/>
        <sz val="8"/>
        <rFont val="Arial"/>
        <family val="2"/>
      </rPr>
      <t xml:space="preserve"> (voir la notice explicative de la notion de compensation de service public en feuillet 3)</t>
    </r>
  </si>
  <si>
    <t>Mode d'emploi : pour l'OHLM chargé de la gestion du SIEG de logement social et bénéficiaire du FEDER</t>
  </si>
  <si>
    <t>x</t>
  </si>
  <si>
    <r>
      <t>données à renseigner relevant d'</t>
    </r>
    <r>
      <rPr>
        <b/>
        <sz val="8"/>
        <rFont val="Arial"/>
        <family val="2"/>
      </rPr>
      <t>Obligations de Service Public</t>
    </r>
    <r>
      <rPr>
        <sz val="8"/>
        <rFont val="Arial"/>
        <family val="2"/>
      </rPr>
      <t xml:space="preserve"> imposées par l'Etat à l'OHLM au titre du SIEG de logement social</t>
    </r>
  </si>
  <si>
    <t>assistance juridique en ligne / USH-Bruxelles / Aides d'Etat - régime des compensations de service public - décision CE de compatibilité a priori</t>
  </si>
  <si>
    <r>
      <t xml:space="preserve">20 données de base de l'opération d'investissement à renseigner </t>
    </r>
    <r>
      <rPr>
        <b/>
        <sz val="8"/>
        <rFont val="Arial"/>
        <family val="2"/>
      </rPr>
      <t>obligatoirement</t>
    </r>
    <r>
      <rPr>
        <sz val="8"/>
        <rFont val="Arial"/>
        <family val="2"/>
      </rPr>
      <t xml:space="preserve"> par l'OHLM chargé de la gestion du SIEG et bénéficiaire du FEDER</t>
    </r>
  </si>
  <si>
    <t>Données de base</t>
  </si>
  <si>
    <t>cofinancée par le FEDER</t>
  </si>
  <si>
    <t>Pièces justificatives disponibles auprès de l'OHLM en cas de contrôle</t>
  </si>
  <si>
    <r>
      <t>OSP</t>
    </r>
    <r>
      <rPr>
        <sz val="8"/>
        <color indexed="10"/>
        <rFont val="Arial"/>
        <family val="2"/>
      </rPr>
      <t xml:space="preserve"> - Fonds revolving SIEG</t>
    </r>
  </si>
  <si>
    <t>Total des emprunts contractés par l'OHLM</t>
  </si>
  <si>
    <r>
      <t xml:space="preserve">Fonds propres investis par l'OHLM - </t>
    </r>
    <r>
      <rPr>
        <b/>
        <sz val="8"/>
        <rFont val="Arial"/>
        <family val="2"/>
      </rPr>
      <t>OSP fonds revolving SIEG</t>
    </r>
  </si>
  <si>
    <r>
      <t xml:space="preserve">Tour de table des cofinanceurs à l'initiative de l'OHLM - </t>
    </r>
    <r>
      <rPr>
        <b/>
        <sz val="8"/>
        <rFont val="Arial"/>
        <family val="2"/>
      </rPr>
      <t>OSP offre de logements à loyer modéré</t>
    </r>
  </si>
  <si>
    <t>Part du FEDER dans le plan de financement de l'opération</t>
  </si>
  <si>
    <t>Garantie des emprunts - coût et ESB</t>
  </si>
  <si>
    <t>Emprunt * 2% si garantie CGLLS payante</t>
  </si>
  <si>
    <t>coût de la garantie publique gratuite</t>
  </si>
  <si>
    <t>coût de la garantie CGLLS</t>
  </si>
  <si>
    <t>Equivalent subvention de la garantie</t>
  </si>
  <si>
    <t>Loyers majorés</t>
  </si>
  <si>
    <t>3eme ligne de quittance</t>
  </si>
  <si>
    <t>produit de la vente proratisé</t>
  </si>
  <si>
    <t>non recettes liées à la rétrocession des CEE à l'autorité publique</t>
  </si>
  <si>
    <t>Coûts nets + bénéfice raisonnable - compensation</t>
  </si>
  <si>
    <t>Résultats valeur actuelle</t>
  </si>
  <si>
    <t>annuités comparées taux réglementés et taux de référence pour les emprunts conctractés</t>
  </si>
  <si>
    <t>Garantie de référence</t>
  </si>
  <si>
    <t>Investissement assiette éligible FEDER TTC</t>
  </si>
  <si>
    <t>0 si bénéfice d'une garantie publique gratuite sinon ne rien inscrire</t>
  </si>
  <si>
    <t>Bases juridiques du régime des compensations d'obligations de service public applicable aux organismes d'HLM (OHLM)</t>
  </si>
  <si>
    <t>Droit interne : mandat législatif collectif des OHLM (CCH) complété par des mandats individuels par OHLM (convention d'utilité sociale) et par logement (convention APL).</t>
  </si>
  <si>
    <t>article L445.1 CCH complète ce mandat législatif collectif par une convention par OHLM renouvelable tous les 5 ans</t>
  </si>
  <si>
    <r>
      <t xml:space="preserve">. obligation de fournir une offre de logements à loyer modéré (construction, gestion, réhabilitation...) : </t>
    </r>
    <r>
      <rPr>
        <b/>
        <sz val="8"/>
        <rFont val="Arial"/>
        <family val="2"/>
      </rPr>
      <t>OSP d'offre de logements (investissement - gestion)</t>
    </r>
  </si>
  <si>
    <t>Aides publiques directes mobilisées par l'organisme HLM, dont FEDER</t>
  </si>
  <si>
    <t>emplois induits (indicateur MEDDATT 12 emplois / 1 million de travaux TTC)</t>
  </si>
  <si>
    <t>Méthode de calcul retenue pour la compensation d'opérations de rénovation thermique de logements sociaux</t>
  </si>
  <si>
    <t>Recettes locatives temporaires : recettes actualisées générées temporairement (3ème ligne) (donnée proratisée)</t>
  </si>
  <si>
    <r>
      <t>Condition</t>
    </r>
    <r>
      <rPr>
        <sz val="8"/>
        <rFont val="Arial"/>
        <family val="2"/>
      </rPr>
      <t xml:space="preserve"> : la compensation ne peut être supérieure aux </t>
    </r>
    <r>
      <rPr>
        <b/>
        <sz val="8"/>
        <rFont val="Arial"/>
        <family val="2"/>
      </rPr>
      <t>coûts nets</t>
    </r>
    <r>
      <rPr>
        <sz val="8"/>
        <rFont val="Arial"/>
        <family val="2"/>
      </rPr>
      <t xml:space="preserve"> + un </t>
    </r>
    <r>
      <rPr>
        <b/>
        <sz val="8"/>
        <rFont val="Arial"/>
        <family val="2"/>
      </rPr>
      <t>bénéfice raisonnable</t>
    </r>
    <r>
      <rPr>
        <sz val="8"/>
        <rFont val="Arial"/>
        <family val="2"/>
      </rPr>
      <t xml:space="preserve"> (art.5.1)</t>
    </r>
  </si>
  <si>
    <t>le dégrèvement de TFPB (montant maximum en N+2)</t>
  </si>
  <si>
    <t>Recettes produits annexes : recettes générées par la vente de CEE et/ou de Kwh photovoltaiques (donnée proratisée)</t>
  </si>
  <si>
    <t>(part de l'assiette éligible dans l'ensemble de l'investissement)</t>
  </si>
  <si>
    <r>
      <t xml:space="preserve">recettes annuelles cumulées sur durée </t>
    </r>
    <r>
      <rPr>
        <sz val="8"/>
        <rFont val="Arial"/>
        <family val="2"/>
      </rPr>
      <t>d'utilisation</t>
    </r>
    <r>
      <rPr>
        <sz val="8"/>
        <rFont val="Arial"/>
        <family val="2"/>
      </rPr>
      <t xml:space="preserve"> - valeur actuelle</t>
    </r>
  </si>
  <si>
    <t>Taux de référence retenus</t>
  </si>
  <si>
    <t>Coût des investissements nécessaires retenu : assiette éligible FEDER TTC</t>
  </si>
  <si>
    <t>Bénéfice raisonnable : recomposition des fonds propres sur durée d'amortissement, rémunérés au tx moyen du Livret A (DHUP)</t>
  </si>
  <si>
    <t>Compensation sous forme de garantie publique : équivalent subvention de la garantie publique / coût de référence de la garantie CGLLS</t>
  </si>
  <si>
    <t>Taux applicable année de référence</t>
  </si>
  <si>
    <t>Notice explicative du régime de la compensation et méthode de calcul retenue</t>
  </si>
  <si>
    <t>ensemble de l'opération de rénovation (assiette FEDER + volet de rénovation hors FEDER)</t>
  </si>
  <si>
    <t xml:space="preserve">montant de la vente de CEE au prorata de l'assiette éligible FEDER </t>
  </si>
  <si>
    <t xml:space="preserve">  </t>
  </si>
  <si>
    <t>total coûts bruts proratisés</t>
  </si>
  <si>
    <t>total recettes générées proratisées</t>
  </si>
  <si>
    <t>ESB avantage de taux prêts règlementés</t>
  </si>
  <si>
    <t>ESB garantie publique collectivité locale</t>
  </si>
  <si>
    <t>taux de cocompensation de l'opération par le FEDER</t>
  </si>
  <si>
    <t>Les coûts nets = coûts bruts - les recettes éventuelles tirées de l'investissement (art.5.2) =</t>
  </si>
  <si>
    <t>note justificative du mandat des OHLM chargés de la gestion du SIEG de logement social en droit interne</t>
  </si>
  <si>
    <t>2005/842/CE</t>
  </si>
  <si>
    <t>Décision d'application de l'article 106.2 TFUE aux compensations octroyées aux entreprises chargées de la gestion du SIEG de logement social</t>
  </si>
  <si>
    <t>dans les limites où l'application de ces règles ne fait pas échec à l'accomplissement en droit ou en fait de la mission particulière qui leur a été impartie.</t>
  </si>
  <si>
    <t>Le développement des échanges ne doit pas être affecté dans une mesure contraire à l'intérêt de l'Union."</t>
  </si>
  <si>
    <t>« Les entreprises chargées de la gestion de services d'intérêt économique général (…) sont soumises aux règles des traités, notamment de concurrence,</t>
  </si>
  <si>
    <r>
      <t xml:space="preserve">décision CE </t>
    </r>
    <r>
      <rPr>
        <u/>
        <sz val="8"/>
        <rFont val="Arial"/>
        <family val="2"/>
      </rPr>
      <t>d'application directe</t>
    </r>
    <r>
      <rPr>
        <sz val="8"/>
        <rFont val="Arial"/>
        <family val="2"/>
      </rPr>
      <t xml:space="preserve"> aux OHLM et SEM (sans transposition en droit interne)</t>
    </r>
  </si>
  <si>
    <t xml:space="preserve"> </t>
  </si>
  <si>
    <t>%</t>
  </si>
  <si>
    <t>Total</t>
  </si>
  <si>
    <t>durée</t>
  </si>
  <si>
    <t>Question</t>
  </si>
  <si>
    <t>Surface totale en m2</t>
  </si>
  <si>
    <t>Bénéfice raisonnable</t>
  </si>
  <si>
    <t>Coûts nets + bénéfice raisonnable</t>
  </si>
  <si>
    <t>Opération</t>
  </si>
  <si>
    <t>N° Presage</t>
  </si>
  <si>
    <t>PO 2007-2013</t>
  </si>
  <si>
    <t>Majoration de loyer dans la limite du loyer plafond</t>
  </si>
  <si>
    <t>OSP</t>
  </si>
  <si>
    <t>Commentaire - méthode de calcul</t>
  </si>
  <si>
    <t>m2 de surface corrigée</t>
  </si>
  <si>
    <r>
      <t xml:space="preserve">euros/m2 de surface corrigée dans la limite du loyer plafond </t>
    </r>
    <r>
      <rPr>
        <b/>
        <sz val="8"/>
        <rFont val="Arial"/>
        <family val="2"/>
      </rPr>
      <t>OSP tarifaire</t>
    </r>
  </si>
  <si>
    <t>Dégrèvement de TFPB</t>
  </si>
  <si>
    <t>m2 de surface habitable</t>
  </si>
  <si>
    <r>
      <t xml:space="preserve">euros/m2/an de surface corrigée </t>
    </r>
    <r>
      <rPr>
        <b/>
        <sz val="8"/>
        <rFont val="Arial"/>
        <family val="2"/>
      </rPr>
      <t>OSP tarifaire</t>
    </r>
  </si>
  <si>
    <r>
      <t xml:space="preserve">euros/m2/an de surface habitable - 3ème ligne de quittance </t>
    </r>
    <r>
      <rPr>
        <b/>
        <sz val="8"/>
        <rFont val="Arial"/>
        <family val="2"/>
      </rPr>
      <t>OSP tarifaire</t>
    </r>
  </si>
  <si>
    <t>Nombre de logements rénovés thermiquement</t>
  </si>
  <si>
    <t>Coût total de l'opération de rénovation TTC</t>
  </si>
  <si>
    <t>recettes brutes générées - total</t>
  </si>
  <si>
    <t>euros/an (recettes imputables à l'opération FEDER)</t>
  </si>
  <si>
    <t>dont recettes brutes générées imputables FEDER</t>
  </si>
  <si>
    <t>Coût assiette éligible FEDER TTC</t>
  </si>
  <si>
    <t>Coûts éligibles FEDER TTC</t>
  </si>
  <si>
    <t>3ème ligne quittance</t>
  </si>
  <si>
    <t>Majoration de loyer (prorata rénovation FEDER)</t>
  </si>
  <si>
    <t>Prêt principal</t>
  </si>
  <si>
    <t>Année</t>
  </si>
  <si>
    <t>taux d'actualisation</t>
  </si>
  <si>
    <t>logements sociaux</t>
  </si>
  <si>
    <t>Loyer avant travaux de rénovation</t>
  </si>
  <si>
    <t>Loyer après travaux de rénovation</t>
  </si>
  <si>
    <t>total recettes brutes générées imputables FEDER</t>
  </si>
  <si>
    <t>total recettes nettes imputables à l'opération FEDER</t>
  </si>
  <si>
    <t>recettes nettes annuelles imputables à l'opération FEDER</t>
  </si>
  <si>
    <t>prêt complémentaire 1</t>
  </si>
  <si>
    <t>prêt complémentaire 2</t>
  </si>
  <si>
    <t>prêt complémentaire 3</t>
  </si>
  <si>
    <t>cumul</t>
  </si>
  <si>
    <t>date de référence</t>
  </si>
  <si>
    <t>Coût garantie CGLLS</t>
  </si>
  <si>
    <t>subvention Etat</t>
  </si>
  <si>
    <t>subvention ADEME</t>
  </si>
  <si>
    <t>subvention FEDER</t>
  </si>
  <si>
    <t>subvention Département</t>
  </si>
  <si>
    <t>subvention Région</t>
  </si>
  <si>
    <t>subvention EPCI</t>
  </si>
  <si>
    <t>subvention Commune</t>
  </si>
  <si>
    <t>subvention 1% logement</t>
  </si>
  <si>
    <t>autres subventions</t>
  </si>
  <si>
    <t>taux</t>
  </si>
  <si>
    <t>euros/an</t>
  </si>
  <si>
    <t>Tx de référence d'un prêt sur le marché</t>
  </si>
  <si>
    <t>Taux d'actualisation retenu</t>
  </si>
  <si>
    <t>Compensation des coûts nets</t>
  </si>
  <si>
    <t>dont emprunt</t>
  </si>
  <si>
    <t>Charge d'intérêts de l'emprunt</t>
  </si>
  <si>
    <t>COUTS</t>
  </si>
  <si>
    <t>RECETTES</t>
  </si>
  <si>
    <t>Majoration de loyers</t>
  </si>
  <si>
    <t>hors prêts avec avantage de taux</t>
  </si>
  <si>
    <t>Subventions à l'investissement</t>
  </si>
  <si>
    <t>dont charge d'intérêts</t>
  </si>
  <si>
    <t>3ème ligne (prorata rénovation FEDER)</t>
  </si>
  <si>
    <t>recettes 3ème ligne proratisées FEDER</t>
  </si>
  <si>
    <t>Impayés et vacance</t>
  </si>
  <si>
    <t>Dégrèvement de TFPB proratisé</t>
  </si>
  <si>
    <t>emprunt total =</t>
  </si>
  <si>
    <t>Taux de cocompensation du FEDER</t>
  </si>
  <si>
    <t>article 2.1.c</t>
  </si>
  <si>
    <t>article 5.3.d</t>
  </si>
  <si>
    <t>2012/21/UE</t>
  </si>
  <si>
    <t>Taux de compensation de l'opération</t>
  </si>
  <si>
    <t>Total recettes</t>
  </si>
  <si>
    <t>article 6.2</t>
  </si>
  <si>
    <t>Test d'absence de surcompensation</t>
  </si>
  <si>
    <t>Total coûts bruts</t>
  </si>
  <si>
    <t>Recettes générées - valeur actuelle - cf feuillet 2 exploitation sur durée du prêt principal (article 5.4)</t>
  </si>
  <si>
    <t>article 2.2</t>
  </si>
  <si>
    <t>mandat supérieur à 10 ans - investissements importants - spécificité du SIEG de logement social (considérant 12)</t>
  </si>
  <si>
    <t>Coûts nets + bénéfice raisonnable (articles 5.5 à 5.8)</t>
  </si>
  <si>
    <t>de l'assiette éligible FEDER TTC financée par endettement de l'OHLM</t>
  </si>
  <si>
    <t>précisez : EDF,…</t>
  </si>
  <si>
    <t>précisez : ANRU, …</t>
  </si>
  <si>
    <t>report de surcompensation limité à 10% de la compensation annuelle en déduction de futures compensations</t>
  </si>
  <si>
    <t>en déduction de futures compensations (max 10% compensation annuelle) soit un report maxi de surcompensation =</t>
  </si>
  <si>
    <t>Coûts bruts occasionnés par les travaux de rénovation thermique hors aides (articles 5.3.a et 5.3.d)</t>
  </si>
  <si>
    <t>compensation = subventions + dégrèvement TFPB + ESB avantage de taux + ESB garantie publique gratuite</t>
  </si>
  <si>
    <t>Compensation (articles 2.1.c et 4.d)</t>
  </si>
  <si>
    <t>Annuités prêt compl.2</t>
  </si>
  <si>
    <t>Annuités prêt compl. 1</t>
  </si>
  <si>
    <t>Annuités prêt principal</t>
  </si>
  <si>
    <t>Annuités prêt compl. 3</t>
  </si>
  <si>
    <t>Annuités cumulées</t>
  </si>
  <si>
    <t>Garantie</t>
  </si>
  <si>
    <t>Investissement</t>
  </si>
  <si>
    <t>COMPENSATION</t>
  </si>
  <si>
    <t>BENEFICE</t>
  </si>
  <si>
    <t>CONTRÔLE</t>
  </si>
  <si>
    <t>COUT TOTAL</t>
  </si>
  <si>
    <t>Coûts nets</t>
  </si>
  <si>
    <t>Pertes</t>
  </si>
  <si>
    <t>au taux règlementé</t>
  </si>
  <si>
    <t>au taux de référence</t>
  </si>
  <si>
    <t>Vente CEE</t>
  </si>
  <si>
    <t>Majoration de loyer proratisée</t>
  </si>
  <si>
    <t>3ème ligne quittance proratisée (15 ans)</t>
  </si>
  <si>
    <t>non recettes impayés et vacance proratisés</t>
  </si>
  <si>
    <t>recettes nettes proratisées</t>
  </si>
  <si>
    <t>durée prêt principal</t>
  </si>
  <si>
    <r>
      <t xml:space="preserve">limitée à 15 ans après concertation locative - valeur actuelle - </t>
    </r>
    <r>
      <rPr>
        <b/>
        <sz val="8"/>
        <rFont val="Arial"/>
        <family val="2"/>
      </rPr>
      <t>OSP tarifaire et protection des utilisateurs</t>
    </r>
  </si>
  <si>
    <t>Subventions</t>
  </si>
  <si>
    <t>Total financement</t>
  </si>
  <si>
    <t>Emprunts</t>
  </si>
  <si>
    <t>UE - Traité</t>
  </si>
  <si>
    <t>106.2</t>
  </si>
  <si>
    <t>La compensation est compatible avec le Traité si elle n'excède pas ce qui est nécessaire à l'exécution du SIEG de logement social (coûts moins les recettes plus un bénéfice raisonnable).</t>
  </si>
  <si>
    <t>Conformément à l'article 106.2 du Traité, l'Union européenne ne peut interdire ce qui est nécessaire à l'exécution d'un SIEG</t>
  </si>
  <si>
    <t>Recettes générées par l'opération</t>
  </si>
  <si>
    <t>ESB gain d'annuités</t>
  </si>
  <si>
    <t>Absence de surcompensation - report et remboursement de surcompensations (articles 5.1, 5.10 et 6.2)</t>
  </si>
  <si>
    <t xml:space="preserve">Durée d'utilisation </t>
  </si>
  <si>
    <t>ESB avantage TVA taux réduit</t>
  </si>
  <si>
    <t>précisez : Eco-prêt, PAM, 1% logement, …</t>
  </si>
  <si>
    <t>précisez : Eco-prêt, PAM, 1% logement,…</t>
  </si>
  <si>
    <t>précisez : Eco-prêt, PAM, 1% logement …</t>
  </si>
  <si>
    <t>Produits annexes vente KWh photovoltaïque</t>
  </si>
  <si>
    <t>Coût nets (coûts bruts - recettes)</t>
  </si>
  <si>
    <t>total des subventions à l'investissement mobilisées, y compris FEDER</t>
  </si>
  <si>
    <t>non recettes liées aux impayés et à la vacance (taux de référence DHUP)</t>
  </si>
  <si>
    <t>la charge d'intérêts proratisée hors aides (au taux de référence du marché)</t>
  </si>
  <si>
    <t>les subventions directes, y compris FEDER</t>
  </si>
  <si>
    <t>ans</t>
  </si>
  <si>
    <t>l'équivalent subvention du bénéfice des prêts règlementés CDC et 1%</t>
  </si>
  <si>
    <r>
      <t xml:space="preserve">sur durée </t>
    </r>
    <r>
      <rPr>
        <sz val="8"/>
        <rFont val="Arial"/>
        <family val="2"/>
      </rPr>
      <t>d'utilisation</t>
    </r>
    <r>
      <rPr>
        <sz val="8"/>
        <rFont val="Arial"/>
        <family val="2"/>
      </rPr>
      <t xml:space="preserve"> - valeur actuelle - </t>
    </r>
    <r>
      <rPr>
        <b/>
        <sz val="8"/>
        <rFont val="Arial"/>
        <family val="2"/>
      </rPr>
      <t>dans le respect de la convention APL - OSP tarifaire - loyer plafond</t>
    </r>
  </si>
  <si>
    <r>
      <t xml:space="preserve">sur durée </t>
    </r>
    <r>
      <rPr>
        <sz val="8"/>
        <rFont val="Arial"/>
        <family val="2"/>
      </rPr>
      <t>d'utilisation</t>
    </r>
    <r>
      <rPr>
        <sz val="8"/>
        <rFont val="Arial"/>
        <family val="2"/>
      </rPr>
      <t xml:space="preserve"> - valeur actuelle</t>
    </r>
  </si>
  <si>
    <t>l'équivalent subvention du bénéfice de taux réduit de TVA (1)</t>
  </si>
  <si>
    <t>(1) : en matière de rénovation thermique, le taux réduit de TVA n'est pas une disposition propre au SIEG de logement social</t>
  </si>
  <si>
    <t>dont taux de compensation FEDER</t>
  </si>
  <si>
    <t>Solde (2)</t>
  </si>
  <si>
    <t>(2) si le solde est positif, il s'agit de la marge d'aide avant surcompensation, s'il est négatif, il s'agit de la surcompensation</t>
  </si>
  <si>
    <t>taux de compensation (3)</t>
  </si>
  <si>
    <t>(3) le taux de compensation doit être inférieur ou égal à 100%</t>
  </si>
  <si>
    <r>
      <t>Nature de l'opération</t>
    </r>
    <r>
      <rPr>
        <sz val="8"/>
        <rFont val="Arial"/>
        <family val="2"/>
      </rPr>
      <t xml:space="preserve"> : investissement dans une infrastructure nécessaire au fonctionnement du SIEG de logement social</t>
    </r>
  </si>
  <si>
    <t>Test prévisionnel établi sur la durée de remboursement du prêt principal (Eco-prêt CDC)</t>
  </si>
  <si>
    <t>recomposition des fonds propres investis rémunérés au taux du livret A (art.5.8)</t>
  </si>
  <si>
    <t>Contrôle d'absence de surcompensation</t>
  </si>
  <si>
    <t>RENOVATION THERMIQUE DE LOGEMENTS SOCIAUX</t>
  </si>
  <si>
    <t>Total investissement généré (assiette éligible FEDER TTC)</t>
  </si>
  <si>
    <t>les coûts liés aux investissements en travaux (assiette éligible FEDER TTC)</t>
  </si>
  <si>
    <t>mais une disposition d'ordre général dont bénéficie tout investisseur en travaux de rénovation thermique de logements</t>
  </si>
  <si>
    <t>part du FEDER / compensation</t>
  </si>
  <si>
    <t>Aide d'Etat compatible si absence de surcompensation : décision</t>
  </si>
  <si>
    <t>Indicateurs Europe 2020</t>
  </si>
  <si>
    <t>Assistance</t>
  </si>
  <si>
    <t>recettes fiscales générées (TVA - taux réduit de 7%)</t>
  </si>
  <si>
    <t>Feuillet 2</t>
  </si>
  <si>
    <t>Feuillet 3</t>
  </si>
  <si>
    <t>précisez :</t>
  </si>
  <si>
    <t>Taux du livret A sur long terme</t>
  </si>
  <si>
    <t>Donnée de référence DHUP (LOLA)</t>
  </si>
  <si>
    <t>Taux de TVA</t>
  </si>
  <si>
    <t xml:space="preserve"> ! données à proratiser sur base de l'assiette éligible FEDER TTC</t>
  </si>
  <si>
    <t>Taux d'impayés de référence</t>
  </si>
  <si>
    <t>Taux de vacance de référence</t>
  </si>
  <si>
    <t>Coûts nets, bénéfice raisonnable et absence de surcompensation (art. 5 décision CE)</t>
  </si>
  <si>
    <t>Caractéristiques de l'opération</t>
  </si>
  <si>
    <t>CCH</t>
  </si>
  <si>
    <t>année de référence</t>
  </si>
  <si>
    <t>si positif : absence de surcompensation</t>
  </si>
  <si>
    <t>si négatif : surcompensation à rembourser</t>
  </si>
  <si>
    <t>CUS</t>
  </si>
  <si>
    <t>Convention APL</t>
  </si>
  <si>
    <t>SIEG</t>
  </si>
  <si>
    <t>Produits annexes : vente de CEE</t>
  </si>
  <si>
    <t xml:space="preserve"> Produits annexes : vente KWh photovoltaïque…</t>
  </si>
  <si>
    <t>rétrocession des CEE à une autorité publique</t>
  </si>
  <si>
    <t xml:space="preserve">montant de la rétrocession des CEE au prorata de l'assiette éligible FEDER </t>
  </si>
  <si>
    <t>Rétrocession CEE à une autorité publique</t>
  </si>
  <si>
    <t>Produits annexes : vente CEE</t>
  </si>
  <si>
    <t>Vente KWh</t>
  </si>
  <si>
    <t>Rétrocession CEE</t>
  </si>
  <si>
    <t>rétrocession des CEE à une autorité publique en contrepartie de l'aide</t>
  </si>
  <si>
    <t xml:space="preserve">montant annuel de vente au prorata de l'assiette éligible FEDER </t>
  </si>
  <si>
    <t>produits annexes (vente de CEE, vente de Kwh photovoltaiques)</t>
  </si>
  <si>
    <t>introduction temporaire d'une 3ème ligne de quittance</t>
  </si>
  <si>
    <t>majoration des loyers imputable aux travaux</t>
  </si>
  <si>
    <t>RENOVATION THERMIQUE DE LOGEMENTS SOCIAUX - Régime des compensations de service public</t>
  </si>
  <si>
    <t>article 106.2 du Traité sur le fonctionnement de l'Union européenne (TFUE)</t>
  </si>
  <si>
    <t>article R353 CCH complète ce mandat législatif par une convention logement par logement définissant les OSP en matière d'occupation des logements</t>
  </si>
  <si>
    <r>
      <t>OSP</t>
    </r>
    <r>
      <rPr>
        <sz val="8"/>
        <color indexed="10"/>
        <rFont val="Arial"/>
        <family val="2"/>
      </rPr>
      <t xml:space="preserve"> - Taux d'augmentation annuelle des loyers</t>
    </r>
  </si>
  <si>
    <r>
      <t>OSP</t>
    </r>
    <r>
      <rPr>
        <sz val="8"/>
        <color indexed="10"/>
        <rFont val="Arial"/>
        <family val="2"/>
      </rPr>
      <t xml:space="preserve"> - Loyer plafond convention APL</t>
    </r>
  </si>
  <si>
    <r>
      <t>OSP</t>
    </r>
    <r>
      <rPr>
        <sz val="8"/>
        <color indexed="10"/>
        <rFont val="Arial"/>
        <family val="2"/>
      </rPr>
      <t xml:space="preserve"> - taux d'impayés de référence</t>
    </r>
  </si>
  <si>
    <r>
      <t>OSP</t>
    </r>
    <r>
      <rPr>
        <sz val="8"/>
        <color indexed="10"/>
        <rFont val="Arial"/>
        <family val="2"/>
      </rPr>
      <t xml:space="preserve"> - taux de vacance de référence</t>
    </r>
  </si>
  <si>
    <t>Pièces justificatives</t>
  </si>
  <si>
    <t>rénovation thermique seule - assiette éligible FEDER TTC</t>
  </si>
  <si>
    <r>
      <t>OSP</t>
    </r>
    <r>
      <rPr>
        <sz val="8"/>
        <color indexed="10"/>
        <rFont val="Arial"/>
        <family val="2"/>
      </rPr>
      <t xml:space="preserve"> - pertes liées aux taux de vacance et d'impayés</t>
    </r>
  </si>
  <si>
    <t>Nom</t>
  </si>
  <si>
    <t>code présage</t>
  </si>
  <si>
    <t>Note DHUP 281211</t>
  </si>
  <si>
    <t>Délibération</t>
  </si>
  <si>
    <t>max de 25% de l'investissement, montant maximal proratisé assiette éligible FEDER</t>
  </si>
  <si>
    <t>Contrat de cession</t>
  </si>
  <si>
    <t>Convention</t>
  </si>
  <si>
    <t>Autres sources de recettes</t>
  </si>
  <si>
    <t>Tx de proratisation FEDER</t>
  </si>
  <si>
    <t>Offre de prêt</t>
  </si>
  <si>
    <t>Donnée de référence DHUP</t>
  </si>
  <si>
    <t>prise en compte des coûts liés aux investissements nécessaires à l'exécution du SIEG</t>
  </si>
  <si>
    <t>part du coût éligible FEDER sur l'ensemble du coût de la rénovation (taux de proratisation FEDER)</t>
  </si>
  <si>
    <r>
      <t xml:space="preserve">année 1 / recettes brutes imputables FEDER </t>
    </r>
    <r>
      <rPr>
        <b/>
        <sz val="8"/>
        <rFont val="Arial"/>
        <family val="2"/>
      </rPr>
      <t>OSP attributions - occupation sociale</t>
    </r>
  </si>
  <si>
    <t>Acte dégrèvement</t>
  </si>
  <si>
    <t>Donnée de référence CGLLS</t>
  </si>
  <si>
    <t>Coût de l'investissement en rénovation thermique</t>
  </si>
  <si>
    <t>euros/an (majoration imputable à l'opération FEDER - assiette éligible)</t>
  </si>
  <si>
    <t>Fonds propres investis</t>
  </si>
  <si>
    <t>Garantie publique gratuite de collectivités locales ou garantie payante CGLLS</t>
  </si>
  <si>
    <t>recettes tirées de la vente de CEE par le bénéficiaire</t>
  </si>
  <si>
    <r>
      <t xml:space="preserve">non recette sur durée </t>
    </r>
    <r>
      <rPr>
        <sz val="8"/>
        <rFont val="Arial"/>
        <family val="2"/>
      </rPr>
      <t>d'utilisation</t>
    </r>
    <r>
      <rPr>
        <sz val="8"/>
        <rFont val="Arial"/>
        <family val="2"/>
      </rPr>
      <t xml:space="preserve"> - valeur actuelle -  </t>
    </r>
    <r>
      <rPr>
        <b/>
        <sz val="8"/>
        <rFont val="Arial"/>
        <family val="2"/>
      </rPr>
      <t>OSP occupation sociale</t>
    </r>
  </si>
  <si>
    <t>le taux réduit de TVA n'est pas une aide spécifique aux OHLM et SEM mais à tout projet de rénovation thermique</t>
  </si>
  <si>
    <t>Part du FEDER dans la compensation globale</t>
  </si>
  <si>
    <t>% de la subvention FEDER dans l'ensemble de la compensation de l'opération</t>
  </si>
  <si>
    <t>absence de surcompensation de l'opération si inférieur ou égal à 100%</t>
  </si>
  <si>
    <t>euros/m2/an de surface corrigée (majoration imputable FEDER) : taux de proratisation</t>
  </si>
  <si>
    <r>
      <t>OSP</t>
    </r>
    <r>
      <rPr>
        <sz val="8"/>
        <color indexed="10"/>
        <rFont val="Arial"/>
        <family val="2"/>
      </rPr>
      <t xml:space="preserve"> - Majoration temporaire de loyer au titre de la "3ème ligne"</t>
    </r>
  </si>
  <si>
    <r>
      <t xml:space="preserve">euros/an sur 15 ans - 3ème ligne de quittance proratisée (recettes imputables opération FEDER) </t>
    </r>
    <r>
      <rPr>
        <b/>
        <sz val="8"/>
        <rFont val="Arial"/>
        <family val="2"/>
      </rPr>
      <t>OSP tarifaire</t>
    </r>
  </si>
  <si>
    <t>Délibération CL</t>
  </si>
  <si>
    <t>Contrôle d'absence de surcompensation d'une opération d'investissement en rénovation thermique de logements sociaux</t>
  </si>
  <si>
    <t>UE - Décision CE 2012/21/UE - dispositions spécifiques au SIEG de logement social - articles de référence</t>
  </si>
  <si>
    <t>si valeur positive : absence de surcompensation, marge d'aides ou de recettes avant surcompensation</t>
  </si>
  <si>
    <t>si valeur négative : surcompensation non nécessaire à l'exécution du SIEG à rembourser ou à reporter partiellement</t>
  </si>
  <si>
    <t>non recette liée à l'obligation de rétrocession des CEE à une autorité publique en contrepartie de l'octroi d'une subvention</t>
  </si>
  <si>
    <t>équivalent-subvention du bénéfice d'une garantie gratuite d'une collectivité locale dédiée / garantie payante de la CGLLS</t>
  </si>
  <si>
    <t>recettes potentielles</t>
  </si>
  <si>
    <t>nature</t>
  </si>
  <si>
    <t>Mandat OHLM</t>
  </si>
  <si>
    <t>et à l'exécution des obligations de service public par les OHLM mandatés par l'Etat.</t>
  </si>
  <si>
    <t>l'équivalent subvention du bénéfice de garantie publique gratuite / coût CGLLS</t>
  </si>
  <si>
    <t>Recettes locatives : recettes actualisées générées par une majoration des loyers (donnée proratisée)</t>
  </si>
  <si>
    <t>Non recettes locatives : non recettes actualisées liées à la vacance et aux impayés (taux de référence DHUP)</t>
  </si>
  <si>
    <t>Non recettes produits annexes : retrocession des CEE à autorité publique en contrepartie d'octroi de subvention</t>
  </si>
  <si>
    <t>Compensation sous forme de dégrèvement de TFPB : montant maximal de dégrèvement en N+2 (donnée proratisée)</t>
  </si>
  <si>
    <t>Compensation sous forme de subventions directes : montant des subventions directes octroyées, dont FEDER (donnée proratisée)</t>
  </si>
  <si>
    <t>Calcul établi sur base de la durée d'amortissement du prêt principal</t>
  </si>
  <si>
    <t>Compensation sous forme de prêts bonifiés : équivalent subvention de la bonification d'intérêt / taux de référence du marché</t>
  </si>
  <si>
    <t>Taux de proratisation FEDER applicable à l'opération</t>
  </si>
  <si>
    <t>de fausser la concurrence au sein du marché intérieur en accordant un avantage économique à l'OHLM bénéficiaire, bien que ce</t>
  </si>
  <si>
    <t>Taux de référence du marché : TMO (Trésor)</t>
  </si>
  <si>
    <t>Taux des prêts règlementés (CDC, 1% logement) : taux effectif offre de prêt</t>
  </si>
  <si>
    <t>dernier ne soit pas autorisé par la loi à intervenir sur le marché concurrentiel et dispose d'une compétence territoriale infra nationale.</t>
  </si>
  <si>
    <t>Les coûts bruts hors aides, proratisés assiette FEDER (art.5.3 dont art.5.3.d relatif aux investissements)</t>
  </si>
  <si>
    <t>Les recettes éventuelles générées par l'investissement, proratisées assiette FEDER (art.5.4)</t>
  </si>
  <si>
    <t>Compensation totale</t>
  </si>
  <si>
    <t>(taux de couverture des coûts nets et du bénéfice raisonnable par le FEDER)</t>
  </si>
  <si>
    <t>(part de la subvention FEDER dans la compensation totale)</t>
  </si>
  <si>
    <t>non nécessaire à l'exécution du SIEG qui doit faire l'objet d'un remboursement car considérée commme étant susceptible</t>
  </si>
  <si>
    <t>Calculs détaillés</t>
  </si>
  <si>
    <t>Plan de financement détaillé de l'opération (assiette éligible FEDER TTC)</t>
  </si>
  <si>
    <t>3- L'aide à l'opération de rénovation thermique de logements sociaux doit se limiter à couvrir les coûts liés aux investissements nécessaires, moins les recettes générées, plus un bénéfice raisonnable</t>
  </si>
  <si>
    <t>produit annuel de la vente proratisé</t>
  </si>
  <si>
    <t>TVA</t>
  </si>
  <si>
    <t>TFPB</t>
  </si>
  <si>
    <t>dégrèvement N+2</t>
  </si>
  <si>
    <t>Garantie publique</t>
  </si>
  <si>
    <t>Prêts réglementés</t>
  </si>
  <si>
    <t>ESB garantie gratuite</t>
  </si>
  <si>
    <t>taux réduit (hors aide, non spécifique SIEG)</t>
  </si>
  <si>
    <t>assiette éligible FEDER</t>
  </si>
  <si>
    <t>sous condition de mandat des OHLM (art.4), note justificative :</t>
  </si>
  <si>
    <t>report de surcompensation éventuelle annuelle</t>
  </si>
  <si>
    <t>N+2 (valeur actuelle), dégrèvement max proratisé FEDER, plafonnement possible selon pratique locale des centres des impôts</t>
  </si>
  <si>
    <r>
      <t xml:space="preserve">Spécificité : </t>
    </r>
    <r>
      <rPr>
        <sz val="8"/>
        <rFont val="Arial"/>
        <family val="2"/>
      </rPr>
      <t>cofinancement des investissements nécessaires par des aides directes et indirectes, dont FEDER</t>
    </r>
  </si>
  <si>
    <t>Rappel : Plan de financement de l'investissement en infrastructure (proratisé assiette éligible FEDER TTC)</t>
  </si>
  <si>
    <t>Fonds propres investis par l'organisme HLM bénéficiaire du FEDER</t>
  </si>
  <si>
    <t>Emprunts contractés par l'organisme HLM bénéficiaire du FEDER</t>
  </si>
  <si>
    <t>la charge de garantie des emprunts hors aides (aux conditions CGLLS)</t>
  </si>
  <si>
    <t>Assiette éligible FEDER TTC / ensemble des travaux (tx de proratisation FEDER)</t>
  </si>
  <si>
    <t>ESB gain d'annuité</t>
  </si>
  <si>
    <t>Charge d'intérêts de référence</t>
  </si>
  <si>
    <t>Total coûts nets</t>
  </si>
  <si>
    <t>précisez : date de dépôt ou de signature de la convention FEDER</t>
  </si>
  <si>
    <t>part assiette éligible FEDER dans le total de l'opération</t>
  </si>
  <si>
    <r>
      <t xml:space="preserve">Indice de référence </t>
    </r>
    <r>
      <rPr>
        <b/>
        <sz val="8"/>
        <rFont val="Arial"/>
        <family val="2"/>
      </rPr>
      <t>OSP tarifaire</t>
    </r>
  </si>
  <si>
    <t>euros/m2/an de surface habitable - 3ème ligne de quittance imputable FEDER</t>
  </si>
  <si>
    <r>
      <t xml:space="preserve">taux d'impayés de référence DHUP </t>
    </r>
    <r>
      <rPr>
        <b/>
        <sz val="8"/>
        <rFont val="Arial"/>
        <family val="2"/>
      </rPr>
      <t>OSP attributions - occupation sociale</t>
    </r>
  </si>
  <si>
    <r>
      <t xml:space="preserve">taux de vacance de référence DHUP </t>
    </r>
    <r>
      <rPr>
        <b/>
        <sz val="8"/>
        <rFont val="Arial"/>
        <family val="2"/>
      </rPr>
      <t>OSP attributions - occupation sociale</t>
    </r>
  </si>
  <si>
    <t>Le bénéfice raisonnable (art.5.5 à 5.8) sur durée du prêt principal (valeur actuelle)</t>
  </si>
  <si>
    <t>TOTAL BRUT</t>
  </si>
  <si>
    <t>TOTAL NET</t>
  </si>
  <si>
    <t>TOTAL COMPENSATION</t>
  </si>
  <si>
    <t>Voir détail des calculs dans le tableau en feuillet 2 et notice explicative en feuillet 3</t>
  </si>
  <si>
    <t>absence de surcompensation si +</t>
  </si>
  <si>
    <t>La compensation = la somme des "cocompensations" directes et indirectes, dont FEDER</t>
  </si>
  <si>
    <r>
      <t xml:space="preserve">Equivalent subvention si garantie gratuite collectivité locale, </t>
    </r>
    <r>
      <rPr>
        <b/>
        <i/>
        <sz val="8"/>
        <color indexed="10"/>
        <rFont val="Arial"/>
        <family val="2"/>
      </rPr>
      <t>si garantie CGLLS payante : inscrire 0</t>
    </r>
  </si>
  <si>
    <t>TOTAL</t>
  </si>
  <si>
    <t>Taux d'actualisation</t>
  </si>
  <si>
    <t>CRD</t>
  </si>
  <si>
    <t>taux du livret A</t>
  </si>
  <si>
    <t xml:space="preserve">durée </t>
  </si>
  <si>
    <t>(rendement des capitaux propres moyen (art.5.8) sur durée d'amortissement)</t>
  </si>
  <si>
    <t>coût éligible de l'investissement à financer hors subventions (assiette éligible FEDER TTC)</t>
  </si>
  <si>
    <r>
      <t xml:space="preserve">coût d'une garantie octroyée par la CGLLS hors aides - </t>
    </r>
    <r>
      <rPr>
        <b/>
        <sz val="8"/>
        <rFont val="Arial"/>
        <family val="2"/>
      </rPr>
      <t>OSP continuité financière</t>
    </r>
  </si>
  <si>
    <t>Emprunt de référence hors aides</t>
  </si>
  <si>
    <t>Coûts d'investissement TTC - fonds propres investis</t>
  </si>
  <si>
    <t>Recomposition des fonds propres rémunérés au tx du Livret A - valeur actuelle</t>
  </si>
  <si>
    <t>annuités</t>
  </si>
  <si>
    <t>intérêts</t>
  </si>
  <si>
    <t>ammortismt</t>
  </si>
  <si>
    <t>taux d'intérêt de référence</t>
  </si>
  <si>
    <t>Emprunt de référence hors aides - charge d'intérêts</t>
  </si>
  <si>
    <t>Garantie de l'emprunt de référence</t>
  </si>
  <si>
    <t>valeur actuelle</t>
  </si>
  <si>
    <t>Charge de garantie de l'emprunt de référence : charge de garantie facturée par la CGLLS (donnée proratisée)</t>
  </si>
  <si>
    <t>Charge d'intérêts de l'emprunts de référence : investissement - fonds propres (taux de référence du marché)</t>
  </si>
  <si>
    <t>Récapitulatif du plan de financement</t>
  </si>
  <si>
    <r>
      <t xml:space="preserve">Fonds propres investis par l'OHLM - </t>
    </r>
    <r>
      <rPr>
        <b/>
        <sz val="8"/>
        <rFont val="Arial"/>
        <family val="2"/>
      </rPr>
      <t>OSP fonds propres revolving SIEG</t>
    </r>
  </si>
  <si>
    <t>Endettement de l'OHLM</t>
  </si>
  <si>
    <t>Fonds propres mobilisés par l'OHLM</t>
  </si>
  <si>
    <t>Subventions directes</t>
  </si>
  <si>
    <t>Subventions directes mobilisées par l'OHLM</t>
  </si>
  <si>
    <t>dont FEDER</t>
  </si>
  <si>
    <t>ESB garantie gratuite CL = coût d'une garantie CGLLS soit 2% du montant de l'emprunt</t>
  </si>
  <si>
    <t>année de dépôt du dossier ou année de signature de la convention attributive FEDER</t>
  </si>
  <si>
    <t>TMO 1er semestre 2010 (actualisez le taux / date du dépôt du dossier - site web du Trésor)</t>
  </si>
  <si>
    <t>intérêts / emprunt coût éligible hors aides moins les fonds propres investis - taux de référence du marché</t>
  </si>
  <si>
    <t>hors aides directes et indirectes, à durée d'emprunt constante (cf plan de financement), en valeur actuelle</t>
  </si>
  <si>
    <t>Détail des calculs de coûts nets, du bénéfice raisonnable et du montant de la compensation</t>
  </si>
  <si>
    <t>Notice explicative précisant les dispositions de la décision CE, leur application effective à l'opération et les méthodes de calcul retenues</t>
  </si>
  <si>
    <t xml:space="preserve">2- La compensation ne peut exécéder ce qui est nécessaire à l'exécution de ces obligations de service public (OSP) qui sont imposées à l'OHLM par l'Etat, à savoir : </t>
  </si>
  <si>
    <t>Principes généraux de la compensation de service public applicables aux OHLM</t>
  </si>
  <si>
    <t>équivalent-subvention du bénéfice de taux des prêts règlementés - gain d'annuités en valeur actuelle</t>
  </si>
  <si>
    <t>Recettes</t>
  </si>
  <si>
    <t>annuités au taux réglementé</t>
  </si>
  <si>
    <t>annuités de référence</t>
  </si>
  <si>
    <t>ESB gain annuités</t>
  </si>
  <si>
    <t>report de surcompensation annuelle de</t>
  </si>
  <si>
    <t>Version USH du 31/05/2013</t>
  </si>
</sst>
</file>

<file path=xl/styles.xml><?xml version="1.0" encoding="utf-8"?>
<styleSheet xmlns="http://schemas.openxmlformats.org/spreadsheetml/2006/main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#,##0_ ;\-#,##0\ "/>
    <numFmt numFmtId="166" formatCode="#,##0.00_ ;\-#,##0.00\ "/>
    <numFmt numFmtId="167" formatCode="#,##0_ ;[Red]\-#,##0\ "/>
  </numFmts>
  <fonts count="30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u/>
      <sz val="8"/>
      <color indexed="48"/>
      <name val="Arial"/>
      <family val="2"/>
    </font>
    <font>
      <u/>
      <sz val="8"/>
      <color indexed="4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8"/>
      <color indexed="10"/>
      <name val="Arial"/>
      <family val="2"/>
    </font>
    <font>
      <b/>
      <sz val="10"/>
      <color indexed="10"/>
      <name val="Arial"/>
      <family val="2"/>
    </font>
    <font>
      <u/>
      <sz val="8"/>
      <color indexed="12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/>
    <xf numFmtId="0" fontId="5" fillId="2" borderId="0" xfId="0" applyFont="1" applyFill="1"/>
    <xf numFmtId="0" fontId="0" fillId="2" borderId="0" xfId="0" applyFill="1"/>
    <xf numFmtId="0" fontId="7" fillId="2" borderId="0" xfId="0" applyFont="1" applyFill="1"/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4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0" fillId="2" borderId="0" xfId="0" applyFill="1" applyAlignment="1"/>
    <xf numFmtId="0" fontId="3" fillId="2" borderId="0" xfId="0" applyFont="1" applyFill="1" applyBorder="1"/>
    <xf numFmtId="0" fontId="5" fillId="0" borderId="0" xfId="0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166" fontId="2" fillId="0" borderId="0" xfId="1" applyNumberFormat="1" applyFont="1" applyFill="1" applyBorder="1"/>
    <xf numFmtId="0" fontId="10" fillId="0" borderId="1" xfId="2" applyFont="1" applyBorder="1" applyAlignment="1" applyProtection="1"/>
    <xf numFmtId="0" fontId="5" fillId="2" borderId="0" xfId="0" applyFont="1" applyFill="1" applyAlignment="1">
      <alignment horizontal="right"/>
    </xf>
    <xf numFmtId="0" fontId="3" fillId="0" borderId="0" xfId="0" applyFont="1" applyFill="1" applyBorder="1"/>
    <xf numFmtId="49" fontId="3" fillId="0" borderId="0" xfId="0" applyNumberFormat="1" applyFont="1" applyBorder="1" applyAlignment="1">
      <alignment shrinkToFit="1"/>
    </xf>
    <xf numFmtId="49" fontId="6" fillId="0" borderId="0" xfId="0" applyNumberFormat="1" applyFont="1" applyFill="1" applyBorder="1" applyAlignment="1">
      <alignment shrinkToFit="1"/>
    </xf>
    <xf numFmtId="49" fontId="5" fillId="0" borderId="0" xfId="0" applyNumberFormat="1" applyFont="1" applyBorder="1" applyAlignment="1">
      <alignment readingOrder="1"/>
    </xf>
    <xf numFmtId="0" fontId="3" fillId="0" borderId="0" xfId="0" applyFont="1" applyAlignment="1">
      <alignment horizontal="center"/>
    </xf>
    <xf numFmtId="49" fontId="5" fillId="0" borderId="0" xfId="0" applyNumberFormat="1" applyFont="1" applyBorder="1" applyAlignment="1">
      <alignment horizontal="left"/>
    </xf>
    <xf numFmtId="0" fontId="0" fillId="0" borderId="0" xfId="0" applyFill="1" applyAlignme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6" fontId="6" fillId="0" borderId="0" xfId="1" applyNumberFormat="1" applyFont="1" applyFill="1" applyBorder="1"/>
    <xf numFmtId="0" fontId="6" fillId="0" borderId="0" xfId="0" applyFont="1" applyAlignment="1">
      <alignment horizontal="left"/>
    </xf>
    <xf numFmtId="0" fontId="3" fillId="0" borderId="2" xfId="0" applyFont="1" applyBorder="1"/>
    <xf numFmtId="0" fontId="5" fillId="2" borderId="0" xfId="0" applyFont="1" applyFill="1" applyBorder="1"/>
    <xf numFmtId="10" fontId="5" fillId="2" borderId="0" xfId="4" applyNumberFormat="1" applyFont="1" applyFill="1" applyBorder="1"/>
    <xf numFmtId="10" fontId="2" fillId="0" borderId="0" xfId="1" applyNumberFormat="1" applyFont="1" applyFill="1" applyBorder="1"/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7" fillId="0" borderId="0" xfId="0" applyFont="1" applyFill="1" applyBorder="1" applyAlignment="1"/>
    <xf numFmtId="0" fontId="0" fillId="0" borderId="2" xfId="0" applyBorder="1"/>
    <xf numFmtId="4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Font="1" applyAlignment="1"/>
    <xf numFmtId="10" fontId="6" fillId="0" borderId="0" xfId="0" applyNumberFormat="1" applyFont="1" applyFill="1"/>
    <xf numFmtId="4" fontId="6" fillId="0" borderId="0" xfId="0" applyNumberFormat="1" applyFont="1"/>
    <xf numFmtId="4" fontId="6" fillId="0" borderId="0" xfId="4" applyNumberFormat="1" applyFont="1" applyFill="1" applyBorder="1"/>
    <xf numFmtId="4" fontId="2" fillId="0" borderId="0" xfId="0" applyNumberFormat="1" applyFont="1" applyFill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49" fontId="0" fillId="2" borderId="0" xfId="0" applyNumberFormat="1" applyFill="1" applyBorder="1"/>
    <xf numFmtId="49" fontId="2" fillId="2" borderId="0" xfId="0" applyNumberFormat="1" applyFont="1" applyFill="1" applyAlignment="1">
      <alignment horizontal="right"/>
    </xf>
    <xf numFmtId="49" fontId="8" fillId="2" borderId="0" xfId="4" applyNumberFormat="1" applyFont="1" applyFill="1" applyBorder="1"/>
    <xf numFmtId="49" fontId="7" fillId="2" borderId="0" xfId="0" applyNumberFormat="1" applyFont="1" applyFill="1"/>
    <xf numFmtId="49" fontId="0" fillId="2" borderId="0" xfId="0" applyNumberFormat="1" applyFill="1"/>
    <xf numFmtId="4" fontId="2" fillId="0" borderId="0" xfId="0" applyNumberFormat="1" applyFont="1" applyBorder="1"/>
    <xf numFmtId="4" fontId="7" fillId="0" borderId="0" xfId="0" applyNumberFormat="1" applyFont="1" applyFill="1"/>
    <xf numFmtId="1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/>
    <xf numFmtId="166" fontId="5" fillId="3" borderId="0" xfId="1" applyNumberFormat="1" applyFont="1" applyFill="1" applyBorder="1"/>
    <xf numFmtId="10" fontId="5" fillId="0" borderId="0" xfId="1" applyNumberFormat="1" applyFont="1" applyFill="1" applyBorder="1"/>
    <xf numFmtId="2" fontId="5" fillId="3" borderId="0" xfId="4" applyNumberFormat="1" applyFont="1" applyFill="1" applyBorder="1"/>
    <xf numFmtId="4" fontId="5" fillId="3" borderId="0" xfId="4" applyNumberFormat="1" applyFont="1" applyFill="1" applyBorder="1"/>
    <xf numFmtId="4" fontId="5" fillId="0" borderId="0" xfId="4" applyNumberFormat="1" applyFont="1" applyFill="1" applyBorder="1"/>
    <xf numFmtId="4" fontId="2" fillId="3" borderId="0" xfId="4" applyNumberFormat="1" applyFont="1" applyFill="1" applyBorder="1"/>
    <xf numFmtId="166" fontId="2" fillId="3" borderId="0" xfId="1" applyNumberFormat="1" applyFont="1" applyFill="1" applyBorder="1"/>
    <xf numFmtId="10" fontId="2" fillId="3" borderId="0" xfId="1" applyNumberFormat="1" applyFont="1" applyFill="1" applyBorder="1"/>
    <xf numFmtId="49" fontId="9" fillId="0" borderId="0" xfId="2" applyNumberFormat="1" applyFont="1" applyFill="1" applyBorder="1" applyAlignment="1" applyProtection="1"/>
    <xf numFmtId="49" fontId="0" fillId="0" borderId="0" xfId="0" applyNumberFormat="1" applyFill="1" applyBorder="1"/>
    <xf numFmtId="49" fontId="8" fillId="0" borderId="0" xfId="4" applyNumberFormat="1" applyFont="1" applyFill="1" applyBorder="1"/>
    <xf numFmtId="0" fontId="3" fillId="0" borderId="0" xfId="0" applyFont="1" applyFill="1" applyAlignment="1">
      <alignment horizontal="center"/>
    </xf>
    <xf numFmtId="49" fontId="7" fillId="0" borderId="2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Border="1"/>
    <xf numFmtId="4" fontId="6" fillId="0" borderId="0" xfId="1" applyNumberFormat="1" applyFont="1" applyFill="1" applyBorder="1"/>
    <xf numFmtId="2" fontId="2" fillId="2" borderId="0" xfId="0" applyNumberFormat="1" applyFont="1" applyFill="1" applyAlignment="1">
      <alignment horizontal="right"/>
    </xf>
    <xf numFmtId="49" fontId="2" fillId="2" borderId="0" xfId="0" applyNumberFormat="1" applyFont="1" applyFill="1" applyBorder="1"/>
    <xf numFmtId="49" fontId="13" fillId="2" borderId="0" xfId="0" applyNumberFormat="1" applyFont="1" applyFill="1"/>
    <xf numFmtId="49" fontId="2" fillId="2" borderId="0" xfId="2" applyNumberFormat="1" applyFont="1" applyFill="1" applyBorder="1" applyAlignment="1" applyProtection="1"/>
    <xf numFmtId="49" fontId="2" fillId="2" borderId="0" xfId="4" applyNumberFormat="1" applyFont="1" applyFill="1" applyBorder="1"/>
    <xf numFmtId="4" fontId="12" fillId="0" borderId="0" xfId="1" applyNumberFormat="1" applyFont="1" applyFill="1" applyBorder="1"/>
    <xf numFmtId="2" fontId="2" fillId="0" borderId="0" xfId="0" applyNumberFormat="1" applyFont="1" applyFill="1" applyAlignment="1">
      <alignment horizontal="right"/>
    </xf>
    <xf numFmtId="2" fontId="8" fillId="0" borderId="0" xfId="4" applyNumberFormat="1" applyFont="1" applyFill="1" applyBorder="1"/>
    <xf numFmtId="2" fontId="7" fillId="0" borderId="0" xfId="0" applyNumberFormat="1" applyFont="1" applyFill="1"/>
    <xf numFmtId="2" fontId="0" fillId="0" borderId="0" xfId="0" applyNumberFormat="1" applyFill="1"/>
    <xf numFmtId="2" fontId="2" fillId="2" borderId="0" xfId="0" applyNumberFormat="1" applyFont="1" applyFill="1" applyBorder="1"/>
    <xf numFmtId="2" fontId="13" fillId="2" borderId="0" xfId="0" applyNumberFormat="1" applyFont="1" applyFill="1"/>
    <xf numFmtId="2" fontId="2" fillId="2" borderId="0" xfId="0" applyNumberFormat="1" applyFont="1" applyFill="1"/>
    <xf numFmtId="49" fontId="2" fillId="2" borderId="0" xfId="0" applyNumberFormat="1" applyFont="1" applyFill="1"/>
    <xf numFmtId="2" fontId="2" fillId="2" borderId="0" xfId="2" applyNumberFormat="1" applyFont="1" applyFill="1" applyBorder="1" applyAlignment="1" applyProtection="1"/>
    <xf numFmtId="2" fontId="2" fillId="2" borderId="0" xfId="4" applyNumberFormat="1" applyFont="1" applyFill="1" applyBorder="1"/>
    <xf numFmtId="2" fontId="2" fillId="0" borderId="0" xfId="4" applyNumberFormat="1" applyFont="1" applyFill="1" applyBorder="1"/>
    <xf numFmtId="2" fontId="13" fillId="0" borderId="0" xfId="0" applyNumberFormat="1" applyFont="1" applyFill="1"/>
    <xf numFmtId="2" fontId="2" fillId="0" borderId="0" xfId="0" applyNumberFormat="1" applyFont="1" applyFill="1"/>
    <xf numFmtId="0" fontId="5" fillId="3" borderId="0" xfId="0" applyFont="1" applyFill="1" applyAlignment="1"/>
    <xf numFmtId="0" fontId="3" fillId="2" borderId="0" xfId="0" applyFont="1" applyFill="1" applyAlignment="1"/>
    <xf numFmtId="4" fontId="6" fillId="0" borderId="0" xfId="0" applyNumberFormat="1" applyFont="1" applyBorder="1"/>
    <xf numFmtId="10" fontId="5" fillId="3" borderId="0" xfId="0" applyNumberFormat="1" applyFont="1" applyFill="1" applyAlignment="1"/>
    <xf numFmtId="166" fontId="6" fillId="3" borderId="0" xfId="1" applyNumberFormat="1" applyFont="1" applyFill="1" applyBorder="1"/>
    <xf numFmtId="0" fontId="5" fillId="2" borderId="0" xfId="0" applyFont="1" applyFill="1" applyAlignment="1"/>
    <xf numFmtId="0" fontId="5" fillId="0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Border="1"/>
    <xf numFmtId="49" fontId="5" fillId="2" borderId="0" xfId="2" applyNumberFormat="1" applyFont="1" applyFill="1" applyBorder="1" applyAlignment="1" applyProtection="1"/>
    <xf numFmtId="49" fontId="4" fillId="2" borderId="0" xfId="0" applyNumberFormat="1" applyFont="1" applyFill="1" applyBorder="1"/>
    <xf numFmtId="0" fontId="5" fillId="2" borderId="0" xfId="0" applyFont="1" applyFill="1" applyBorder="1" applyAlignment="1"/>
    <xf numFmtId="0" fontId="14" fillId="2" borderId="0" xfId="0" applyFont="1" applyFill="1" applyAlignment="1">
      <alignment horizontal="right"/>
    </xf>
    <xf numFmtId="10" fontId="14" fillId="2" borderId="0" xfId="4" applyNumberFormat="1" applyFont="1" applyFill="1" applyBorder="1"/>
    <xf numFmtId="0" fontId="2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2" fontId="6" fillId="0" borderId="0" xfId="2" applyNumberFormat="1" applyFont="1" applyFill="1" applyBorder="1" applyAlignment="1" applyProtection="1"/>
    <xf numFmtId="2" fontId="6" fillId="0" borderId="0" xfId="0" applyNumberFormat="1" applyFont="1" applyFill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right"/>
    </xf>
    <xf numFmtId="4" fontId="2" fillId="0" borderId="5" xfId="1" applyNumberFormat="1" applyFont="1" applyFill="1" applyBorder="1"/>
    <xf numFmtId="0" fontId="2" fillId="0" borderId="6" xfId="0" applyFont="1" applyBorder="1" applyAlignment="1">
      <alignment horizontal="right"/>
    </xf>
    <xf numFmtId="4" fontId="2" fillId="0" borderId="7" xfId="1" applyNumberFormat="1" applyFont="1" applyFill="1" applyBorder="1"/>
    <xf numFmtId="4" fontId="12" fillId="0" borderId="7" xfId="1" applyNumberFormat="1" applyFont="1" applyFill="1" applyBorder="1"/>
    <xf numFmtId="0" fontId="2" fillId="0" borderId="6" xfId="0" applyFont="1" applyFill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166" fontId="2" fillId="0" borderId="6" xfId="0" applyNumberFormat="1" applyFont="1" applyBorder="1" applyAlignment="1">
      <alignment horizontal="right"/>
    </xf>
    <xf numFmtId="49" fontId="9" fillId="4" borderId="0" xfId="2" applyNumberFormat="1" applyFont="1" applyFill="1" applyBorder="1" applyAlignment="1" applyProtection="1"/>
    <xf numFmtId="49" fontId="0" fillId="4" borderId="0" xfId="0" applyNumberFormat="1" applyFill="1" applyBorder="1"/>
    <xf numFmtId="49" fontId="2" fillId="4" borderId="0" xfId="0" applyNumberFormat="1" applyFont="1" applyFill="1" applyAlignment="1">
      <alignment horizontal="right"/>
    </xf>
    <xf numFmtId="49" fontId="8" fillId="4" borderId="0" xfId="4" applyNumberFormat="1" applyFont="1" applyFill="1" applyBorder="1"/>
    <xf numFmtId="49" fontId="7" fillId="4" borderId="0" xfId="0" applyNumberFormat="1" applyFont="1" applyFill="1"/>
    <xf numFmtId="49" fontId="0" fillId="4" borderId="0" xfId="0" applyNumberFormat="1" applyFill="1"/>
    <xf numFmtId="0" fontId="2" fillId="5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4" fontId="12" fillId="5" borderId="7" xfId="1" applyNumberFormat="1" applyFont="1" applyFill="1" applyBorder="1"/>
    <xf numFmtId="4" fontId="6" fillId="5" borderId="6" xfId="0" applyNumberFormat="1" applyFont="1" applyFill="1" applyBorder="1" applyAlignment="1">
      <alignment horizontal="right"/>
    </xf>
    <xf numFmtId="0" fontId="6" fillId="5" borderId="0" xfId="0" applyFont="1" applyFill="1" applyAlignment="1">
      <alignment horizontal="left"/>
    </xf>
    <xf numFmtId="0" fontId="2" fillId="5" borderId="6" xfId="0" applyFont="1" applyFill="1" applyBorder="1" applyAlignment="1">
      <alignment horizontal="right"/>
    </xf>
    <xf numFmtId="4" fontId="6" fillId="0" borderId="6" xfId="0" applyNumberFormat="1" applyFont="1" applyFill="1" applyBorder="1" applyAlignment="1">
      <alignment horizontal="right"/>
    </xf>
    <xf numFmtId="10" fontId="2" fillId="0" borderId="0" xfId="0" applyNumberFormat="1" applyFont="1"/>
    <xf numFmtId="4" fontId="6" fillId="0" borderId="8" xfId="0" applyNumberFormat="1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9" xfId="0" applyNumberFormat="1" applyFont="1" applyBorder="1"/>
    <xf numFmtId="4" fontId="6" fillId="0" borderId="10" xfId="0" applyNumberFormat="1" applyFont="1" applyBorder="1"/>
    <xf numFmtId="0" fontId="6" fillId="0" borderId="11" xfId="0" applyFont="1" applyBorder="1" applyAlignment="1">
      <alignment wrapText="1"/>
    </xf>
    <xf numFmtId="0" fontId="6" fillId="0" borderId="6" xfId="0" applyFont="1" applyFill="1" applyBorder="1" applyAlignment="1">
      <alignment horizontal="right"/>
    </xf>
    <xf numFmtId="166" fontId="6" fillId="0" borderId="6" xfId="0" applyNumberFormat="1" applyFont="1" applyFill="1" applyBorder="1" applyAlignment="1">
      <alignment horizontal="right"/>
    </xf>
    <xf numFmtId="0" fontId="3" fillId="5" borderId="0" xfId="0" applyFont="1" applyFill="1" applyAlignment="1">
      <alignment horizontal="center"/>
    </xf>
    <xf numFmtId="10" fontId="2" fillId="5" borderId="7" xfId="1" applyNumberFormat="1" applyFont="1" applyFill="1" applyBorder="1"/>
    <xf numFmtId="4" fontId="2" fillId="0" borderId="9" xfId="0" applyNumberFormat="1" applyFont="1" applyBorder="1"/>
    <xf numFmtId="2" fontId="6" fillId="0" borderId="0" xfId="0" applyNumberFormat="1" applyFont="1" applyFill="1" applyAlignment="1">
      <alignment horizontal="right"/>
    </xf>
    <xf numFmtId="2" fontId="6" fillId="0" borderId="0" xfId="4" applyNumberFormat="1" applyFont="1" applyFill="1" applyBorder="1"/>
    <xf numFmtId="2" fontId="11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4" fontId="12" fillId="0" borderId="12" xfId="1" applyNumberFormat="1" applyFont="1" applyFill="1" applyBorder="1"/>
    <xf numFmtId="49" fontId="0" fillId="0" borderId="0" xfId="0" applyNumberFormat="1" applyFill="1"/>
    <xf numFmtId="4" fontId="2" fillId="0" borderId="0" xfId="0" applyNumberFormat="1" applyFont="1" applyFill="1" applyAlignment="1">
      <alignment horizontal="center"/>
    </xf>
    <xf numFmtId="10" fontId="6" fillId="0" borderId="8" xfId="1" applyNumberFormat="1" applyFont="1" applyFill="1" applyBorder="1"/>
    <xf numFmtId="0" fontId="5" fillId="0" borderId="0" xfId="0" applyFont="1" applyAlignment="1"/>
    <xf numFmtId="49" fontId="5" fillId="0" borderId="0" xfId="2" applyNumberFormat="1" applyFont="1" applyFill="1" applyBorder="1" applyAlignment="1" applyProtection="1"/>
    <xf numFmtId="49" fontId="4" fillId="0" borderId="0" xfId="0" applyNumberFormat="1" applyFont="1" applyFill="1" applyBorder="1"/>
    <xf numFmtId="49" fontId="2" fillId="0" borderId="0" xfId="0" applyNumberFormat="1" applyFont="1" applyFill="1" applyAlignment="1">
      <alignment horizontal="right"/>
    </xf>
    <xf numFmtId="49" fontId="7" fillId="0" borderId="0" xfId="0" applyNumberFormat="1" applyFont="1" applyFill="1"/>
    <xf numFmtId="2" fontId="3" fillId="0" borderId="0" xfId="0" applyNumberFormat="1" applyFont="1" applyBorder="1"/>
    <xf numFmtId="0" fontId="15" fillId="0" borderId="0" xfId="2" applyFont="1" applyAlignment="1" applyProtection="1">
      <alignment horizontal="center"/>
    </xf>
    <xf numFmtId="2" fontId="2" fillId="0" borderId="0" xfId="0" applyNumberFormat="1" applyFont="1" applyFill="1" applyBorder="1"/>
    <xf numFmtId="49" fontId="6" fillId="0" borderId="0" xfId="2" applyNumberFormat="1" applyFont="1" applyFill="1" applyBorder="1" applyAlignment="1" applyProtection="1"/>
    <xf numFmtId="49" fontId="6" fillId="0" borderId="0" xfId="0" applyNumberFormat="1" applyFont="1" applyFill="1" applyBorder="1"/>
    <xf numFmtId="49" fontId="6" fillId="0" borderId="0" xfId="0" applyNumberFormat="1" applyFont="1" applyFill="1" applyAlignment="1">
      <alignment horizontal="right"/>
    </xf>
    <xf numFmtId="49" fontId="6" fillId="0" borderId="0" xfId="4" applyNumberFormat="1" applyFont="1" applyFill="1" applyBorder="1"/>
    <xf numFmtId="49" fontId="11" fillId="0" borderId="0" xfId="0" applyNumberFormat="1" applyFont="1" applyFill="1"/>
    <xf numFmtId="49" fontId="6" fillId="0" borderId="0" xfId="0" applyNumberFormat="1" applyFont="1" applyFill="1"/>
    <xf numFmtId="0" fontId="2" fillId="2" borderId="0" xfId="0" applyFont="1" applyFill="1" applyAlignment="1"/>
    <xf numFmtId="0" fontId="2" fillId="0" borderId="0" xfId="0" applyFont="1" applyBorder="1"/>
    <xf numFmtId="0" fontId="5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0" fillId="0" borderId="13" xfId="0" applyBorder="1" applyAlignment="1"/>
    <xf numFmtId="4" fontId="5" fillId="0" borderId="14" xfId="0" applyNumberFormat="1" applyFont="1" applyBorder="1"/>
    <xf numFmtId="4" fontId="5" fillId="0" borderId="15" xfId="0" applyNumberFormat="1" applyFont="1" applyBorder="1"/>
    <xf numFmtId="0" fontId="10" fillId="0" borderId="2" xfId="2" applyFont="1" applyBorder="1" applyAlignment="1" applyProtection="1"/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0" xfId="0" applyFont="1" applyFill="1" applyBorder="1" applyAlignment="1">
      <alignment wrapText="1"/>
    </xf>
    <xf numFmtId="0" fontId="6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10" fontId="11" fillId="0" borderId="7" xfId="1" applyNumberFormat="1" applyFont="1" applyFill="1" applyBorder="1" applyAlignment="1">
      <alignment horizontal="left"/>
    </xf>
    <xf numFmtId="10" fontId="7" fillId="0" borderId="7" xfId="1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3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2" fillId="0" borderId="22" xfId="0" applyFont="1" applyBorder="1" applyAlignment="1">
      <alignment horizontal="right"/>
    </xf>
    <xf numFmtId="166" fontId="2" fillId="3" borderId="25" xfId="1" applyNumberFormat="1" applyFont="1" applyFill="1" applyBorder="1"/>
    <xf numFmtId="166" fontId="2" fillId="3" borderId="26" xfId="1" applyNumberFormat="1" applyFont="1" applyFill="1" applyBorder="1"/>
    <xf numFmtId="0" fontId="2" fillId="0" borderId="3" xfId="0" applyFont="1" applyBorder="1" applyAlignment="1">
      <alignment horizontal="right"/>
    </xf>
    <xf numFmtId="166" fontId="2" fillId="3" borderId="27" xfId="1" applyNumberFormat="1" applyFont="1" applyFill="1" applyBorder="1"/>
    <xf numFmtId="0" fontId="2" fillId="0" borderId="24" xfId="0" applyFont="1" applyBorder="1" applyAlignment="1">
      <alignment horizontal="right"/>
    </xf>
    <xf numFmtId="166" fontId="2" fillId="3" borderId="28" xfId="1" applyNumberFormat="1" applyFont="1" applyFill="1" applyBorder="1"/>
    <xf numFmtId="10" fontId="11" fillId="0" borderId="28" xfId="0" applyNumberFormat="1" applyFont="1" applyFill="1" applyBorder="1" applyAlignment="1">
      <alignment horizontal="center"/>
    </xf>
    <xf numFmtId="166" fontId="6" fillId="0" borderId="29" xfId="1" applyNumberFormat="1" applyFont="1" applyFill="1" applyBorder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4" fillId="0" borderId="0" xfId="0" applyFont="1" applyFill="1" applyAlignment="1">
      <alignment horizontal="right"/>
    </xf>
    <xf numFmtId="10" fontId="14" fillId="0" borderId="0" xfId="4" applyNumberFormat="1" applyFont="1" applyFill="1" applyBorder="1"/>
    <xf numFmtId="0" fontId="5" fillId="0" borderId="0" xfId="0" applyFont="1" applyFill="1"/>
    <xf numFmtId="0" fontId="4" fillId="0" borderId="0" xfId="0" applyFont="1" applyFill="1"/>
    <xf numFmtId="4" fontId="6" fillId="0" borderId="24" xfId="0" applyNumberFormat="1" applyFont="1" applyBorder="1"/>
    <xf numFmtId="0" fontId="6" fillId="0" borderId="30" xfId="0" applyFont="1" applyBorder="1" applyAlignment="1">
      <alignment horizontal="center"/>
    </xf>
    <xf numFmtId="4" fontId="5" fillId="0" borderId="9" xfId="0" applyNumberFormat="1" applyFont="1" applyBorder="1"/>
    <xf numFmtId="0" fontId="7" fillId="0" borderId="0" xfId="0" applyFont="1"/>
    <xf numFmtId="4" fontId="12" fillId="0" borderId="9" xfId="1" applyNumberFormat="1" applyFont="1" applyFill="1" applyBorder="1"/>
    <xf numFmtId="0" fontId="2" fillId="5" borderId="16" xfId="0" applyFont="1" applyFill="1" applyBorder="1" applyAlignment="1">
      <alignment horizontal="right"/>
    </xf>
    <xf numFmtId="4" fontId="12" fillId="5" borderId="31" xfId="1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17" fillId="2" borderId="0" xfId="0" applyFont="1" applyFill="1" applyBorder="1" applyAlignment="1"/>
    <xf numFmtId="10" fontId="5" fillId="0" borderId="0" xfId="4" applyNumberFormat="1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0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2" fillId="0" borderId="0" xfId="0" applyFont="1" applyFill="1"/>
    <xf numFmtId="2" fontId="2" fillId="0" borderId="6" xfId="0" applyNumberFormat="1" applyFont="1" applyBorder="1"/>
    <xf numFmtId="10" fontId="7" fillId="0" borderId="7" xfId="4" applyNumberFormat="1" applyFont="1" applyBorder="1" applyAlignment="1">
      <alignment horizontal="left"/>
    </xf>
    <xf numFmtId="0" fontId="17" fillId="2" borderId="0" xfId="0" applyFont="1" applyFill="1"/>
    <xf numFmtId="0" fontId="2" fillId="0" borderId="0" xfId="0" applyFont="1" applyFill="1" applyBorder="1" applyAlignment="1">
      <alignment wrapText="1"/>
    </xf>
    <xf numFmtId="4" fontId="2" fillId="0" borderId="0" xfId="0" applyNumberFormat="1" applyFont="1" applyFill="1" applyBorder="1"/>
    <xf numFmtId="0" fontId="2" fillId="0" borderId="14" xfId="0" applyFont="1" applyFill="1" applyBorder="1" applyAlignment="1">
      <alignment horizontal="center"/>
    </xf>
    <xf numFmtId="1" fontId="2" fillId="0" borderId="0" xfId="0" applyNumberFormat="1" applyFont="1"/>
    <xf numFmtId="0" fontId="18" fillId="0" borderId="0" xfId="0" applyFont="1"/>
    <xf numFmtId="0" fontId="6" fillId="0" borderId="0" xfId="0" applyFont="1"/>
    <xf numFmtId="4" fontId="5" fillId="0" borderId="0" xfId="0" applyNumberFormat="1" applyFont="1"/>
    <xf numFmtId="10" fontId="5" fillId="0" borderId="0" xfId="0" applyNumberFormat="1" applyFont="1"/>
    <xf numFmtId="2" fontId="5" fillId="0" borderId="0" xfId="0" applyNumberFormat="1" applyFont="1"/>
    <xf numFmtId="4" fontId="5" fillId="0" borderId="3" xfId="0" applyNumberFormat="1" applyFont="1" applyBorder="1"/>
    <xf numFmtId="9" fontId="5" fillId="0" borderId="0" xfId="4" applyFont="1"/>
    <xf numFmtId="9" fontId="6" fillId="0" borderId="0" xfId="4" applyFont="1"/>
    <xf numFmtId="4" fontId="5" fillId="0" borderId="0" xfId="0" applyNumberFormat="1" applyFont="1" applyBorder="1"/>
    <xf numFmtId="0" fontId="19" fillId="0" borderId="0" xfId="0" applyFont="1"/>
    <xf numFmtId="0" fontId="4" fillId="0" borderId="0" xfId="0" applyFont="1"/>
    <xf numFmtId="9" fontId="3" fillId="0" borderId="0" xfId="4" applyFont="1"/>
    <xf numFmtId="2" fontId="2" fillId="2" borderId="0" xfId="0" applyNumberFormat="1" applyFont="1" applyFill="1" applyBorder="1" applyAlignment="1">
      <alignment horizontal="right"/>
    </xf>
    <xf numFmtId="166" fontId="2" fillId="0" borderId="19" xfId="0" applyNumberFormat="1" applyFont="1" applyFill="1" applyBorder="1" applyAlignment="1">
      <alignment horizontal="right"/>
    </xf>
    <xf numFmtId="10" fontId="7" fillId="0" borderId="26" xfId="1" applyNumberFormat="1" applyFont="1" applyFill="1" applyBorder="1" applyAlignment="1">
      <alignment horizontal="left"/>
    </xf>
    <xf numFmtId="0" fontId="20" fillId="2" borderId="0" xfId="0" applyFont="1" applyFill="1" applyAlignment="1"/>
    <xf numFmtId="0" fontId="21" fillId="2" borderId="0" xfId="0" applyFont="1" applyFill="1" applyAlignment="1"/>
    <xf numFmtId="0" fontId="2" fillId="2" borderId="0" xfId="2" applyFont="1" applyFill="1" applyBorder="1" applyAlignment="1" applyProtection="1"/>
    <xf numFmtId="10" fontId="6" fillId="0" borderId="8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22" fillId="0" borderId="1" xfId="2" applyFont="1" applyBorder="1" applyAlignment="1" applyProtection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10" fontId="5" fillId="0" borderId="2" xfId="1" applyNumberFormat="1" applyFont="1" applyFill="1" applyBorder="1"/>
    <xf numFmtId="49" fontId="22" fillId="0" borderId="2" xfId="2" applyNumberFormat="1" applyFont="1" applyFill="1" applyBorder="1" applyAlignment="1" applyProtection="1"/>
    <xf numFmtId="49" fontId="5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right"/>
    </xf>
    <xf numFmtId="49" fontId="14" fillId="0" borderId="2" xfId="4" applyNumberFormat="1" applyFont="1" applyFill="1" applyBorder="1"/>
    <xf numFmtId="0" fontId="15" fillId="0" borderId="0" xfId="2" applyFont="1" applyBorder="1" applyAlignment="1" applyProtection="1">
      <alignment horizontal="left"/>
    </xf>
    <xf numFmtId="0" fontId="15" fillId="0" borderId="0" xfId="2" applyFont="1" applyAlignment="1" applyProtection="1">
      <alignment horizontal="left"/>
    </xf>
    <xf numFmtId="4" fontId="6" fillId="0" borderId="12" xfId="0" applyNumberFormat="1" applyFont="1" applyFill="1" applyBorder="1"/>
    <xf numFmtId="4" fontId="6" fillId="0" borderId="10" xfId="0" applyNumberFormat="1" applyFont="1" applyFill="1" applyBorder="1"/>
    <xf numFmtId="4" fontId="6" fillId="0" borderId="8" xfId="0" applyNumberFormat="1" applyFont="1" applyFill="1" applyBorder="1"/>
    <xf numFmtId="4" fontId="6" fillId="0" borderId="15" xfId="0" applyNumberFormat="1" applyFont="1" applyFill="1" applyBorder="1"/>
    <xf numFmtId="4" fontId="5" fillId="2" borderId="8" xfId="0" applyNumberFormat="1" applyFont="1" applyFill="1" applyBorder="1"/>
    <xf numFmtId="0" fontId="18" fillId="0" borderId="2" xfId="0" applyFont="1" applyBorder="1"/>
    <xf numFmtId="0" fontId="2" fillId="0" borderId="2" xfId="0" applyFont="1" applyBorder="1"/>
    <xf numFmtId="0" fontId="10" fillId="0" borderId="0" xfId="2" applyFont="1" applyBorder="1" applyAlignment="1" applyProtection="1">
      <alignment horizontal="left"/>
    </xf>
    <xf numFmtId="0" fontId="10" fillId="6" borderId="0" xfId="2" applyFont="1" applyFill="1" applyBorder="1" applyAlignment="1" applyProtection="1">
      <alignment horizontal="center"/>
    </xf>
    <xf numFmtId="0" fontId="22" fillId="6" borderId="1" xfId="2" applyFont="1" applyFill="1" applyBorder="1" applyAlignment="1" applyProtection="1">
      <alignment horizontal="center"/>
    </xf>
    <xf numFmtId="0" fontId="22" fillId="6" borderId="0" xfId="2" applyFont="1" applyFill="1" applyBorder="1" applyAlignment="1" applyProtection="1">
      <alignment horizontal="center"/>
    </xf>
    <xf numFmtId="0" fontId="10" fillId="6" borderId="1" xfId="2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Border="1" applyAlignment="1"/>
    <xf numFmtId="164" fontId="5" fillId="0" borderId="0" xfId="4" applyNumberFormat="1" applyFont="1"/>
    <xf numFmtId="0" fontId="21" fillId="0" borderId="0" xfId="0" applyFont="1" applyBorder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5" fillId="7" borderId="0" xfId="0" applyFont="1" applyFill="1" applyBorder="1"/>
    <xf numFmtId="4" fontId="5" fillId="0" borderId="0" xfId="0" applyNumberFormat="1" applyFont="1" applyFill="1" applyBorder="1"/>
    <xf numFmtId="0" fontId="4" fillId="2" borderId="0" xfId="0" applyFont="1" applyFill="1" applyBorder="1" applyAlignment="1"/>
    <xf numFmtId="10" fontId="5" fillId="2" borderId="0" xfId="4" applyNumberFormat="1" applyFont="1" applyFill="1" applyBorder="1" applyAlignment="1"/>
    <xf numFmtId="0" fontId="0" fillId="0" borderId="0" xfId="0" applyBorder="1"/>
    <xf numFmtId="0" fontId="5" fillId="7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4" borderId="0" xfId="0" applyFont="1" applyFill="1" applyAlignment="1"/>
    <xf numFmtId="0" fontId="23" fillId="2" borderId="0" xfId="0" applyFont="1" applyFill="1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8" xfId="0" applyFont="1" applyBorder="1"/>
    <xf numFmtId="0" fontId="10" fillId="4" borderId="0" xfId="2" applyFont="1" applyFill="1" applyBorder="1" applyAlignment="1" applyProtection="1">
      <alignment horizontal="center"/>
    </xf>
    <xf numFmtId="10" fontId="5" fillId="4" borderId="0" xfId="0" applyNumberFormat="1" applyFont="1" applyFill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 vertical="center" wrapText="1"/>
    </xf>
    <xf numFmtId="9" fontId="2" fillId="0" borderId="0" xfId="4" applyFont="1"/>
    <xf numFmtId="0" fontId="10" fillId="7" borderId="0" xfId="2" applyFont="1" applyFill="1" applyBorder="1" applyAlignment="1" applyProtection="1">
      <alignment horizontal="center"/>
    </xf>
    <xf numFmtId="0" fontId="10" fillId="7" borderId="0" xfId="2" applyFont="1" applyFill="1" applyAlignment="1" applyProtection="1">
      <alignment horizontal="center"/>
    </xf>
    <xf numFmtId="49" fontId="10" fillId="7" borderId="0" xfId="2" applyNumberFormat="1" applyFont="1" applyFill="1" applyAlignment="1" applyProtection="1">
      <alignment horizontal="center"/>
    </xf>
    <xf numFmtId="0" fontId="10" fillId="0" borderId="0" xfId="2" applyFont="1" applyAlignment="1" applyProtection="1">
      <alignment horizontal="left"/>
    </xf>
    <xf numFmtId="0" fontId="6" fillId="0" borderId="0" xfId="0" applyFont="1" applyBorder="1" applyAlignment="1">
      <alignment horizontal="left"/>
    </xf>
    <xf numFmtId="0" fontId="16" fillId="0" borderId="0" xfId="2" applyFont="1" applyBorder="1" applyAlignment="1" applyProtection="1">
      <alignment horizontal="left"/>
    </xf>
    <xf numFmtId="0" fontId="2" fillId="0" borderId="3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4" fontId="6" fillId="0" borderId="8" xfId="0" applyNumberFormat="1" applyFont="1" applyFill="1" applyBorder="1" applyAlignment="1">
      <alignment horizontal="right"/>
    </xf>
    <xf numFmtId="4" fontId="2" fillId="0" borderId="32" xfId="0" applyNumberFormat="1" applyFont="1" applyBorder="1"/>
    <xf numFmtId="4" fontId="2" fillId="0" borderId="33" xfId="0" applyNumberFormat="1" applyFont="1" applyBorder="1"/>
    <xf numFmtId="4" fontId="2" fillId="0" borderId="34" xfId="0" applyNumberFormat="1" applyFont="1" applyBorder="1"/>
    <xf numFmtId="4" fontId="2" fillId="0" borderId="35" xfId="0" applyNumberFormat="1" applyFont="1" applyBorder="1"/>
    <xf numFmtId="4" fontId="2" fillId="0" borderId="36" xfId="0" applyNumberFormat="1" applyFont="1" applyBorder="1"/>
    <xf numFmtId="4" fontId="2" fillId="0" borderId="37" xfId="0" applyNumberFormat="1" applyFont="1" applyBorder="1"/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4" fontId="5" fillId="0" borderId="24" xfId="0" applyNumberFormat="1" applyFont="1" applyBorder="1"/>
    <xf numFmtId="4" fontId="5" fillId="0" borderId="8" xfId="0" applyNumberFormat="1" applyFont="1" applyBorder="1"/>
    <xf numFmtId="4" fontId="5" fillId="0" borderId="29" xfId="0" applyNumberFormat="1" applyFont="1" applyBorder="1"/>
    <xf numFmtId="4" fontId="5" fillId="0" borderId="24" xfId="0" applyNumberFormat="1" applyFont="1" applyFill="1" applyBorder="1"/>
    <xf numFmtId="10" fontId="6" fillId="0" borderId="0" xfId="0" applyNumberFormat="1" applyFont="1" applyBorder="1"/>
    <xf numFmtId="4" fontId="2" fillId="0" borderId="0" xfId="0" applyNumberFormat="1" applyFont="1" applyBorder="1" applyAlignment="1">
      <alignment wrapText="1"/>
    </xf>
    <xf numFmtId="10" fontId="6" fillId="0" borderId="0" xfId="1" applyNumberFormat="1" applyFont="1" applyFill="1" applyBorder="1"/>
    <xf numFmtId="0" fontId="5" fillId="3" borderId="0" xfId="0" applyFont="1" applyFill="1" applyAlignment="1">
      <alignment horizontal="center"/>
    </xf>
    <xf numFmtId="4" fontId="2" fillId="0" borderId="13" xfId="0" applyNumberFormat="1" applyFont="1" applyBorder="1" applyAlignment="1">
      <alignment horizontal="right"/>
    </xf>
    <xf numFmtId="4" fontId="5" fillId="2" borderId="14" xfId="0" applyNumberFormat="1" applyFont="1" applyFill="1" applyBorder="1"/>
    <xf numFmtId="4" fontId="5" fillId="2" borderId="10" xfId="0" applyNumberFormat="1" applyFont="1" applyFill="1" applyBorder="1"/>
    <xf numFmtId="10" fontId="6" fillId="0" borderId="0" xfId="0" applyNumberFormat="1" applyFont="1" applyAlignment="1">
      <alignment horizontal="center"/>
    </xf>
    <xf numFmtId="14" fontId="5" fillId="0" borderId="0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4" fontId="5" fillId="0" borderId="7" xfId="0" applyNumberFormat="1" applyFont="1" applyBorder="1"/>
    <xf numFmtId="0" fontId="6" fillId="0" borderId="9" xfId="0" applyFont="1" applyFill="1" applyBorder="1" applyAlignment="1">
      <alignment wrapText="1"/>
    </xf>
    <xf numFmtId="0" fontId="2" fillId="0" borderId="16" xfId="0" applyFont="1" applyBorder="1" applyAlignment="1">
      <alignment horizontal="center" wrapText="1"/>
    </xf>
    <xf numFmtId="0" fontId="5" fillId="0" borderId="15" xfId="0" applyFont="1" applyFill="1" applyBorder="1" applyAlignment="1">
      <alignment wrapText="1"/>
    </xf>
    <xf numFmtId="4" fontId="5" fillId="0" borderId="6" xfId="0" applyNumberFormat="1" applyFont="1" applyBorder="1"/>
    <xf numFmtId="4" fontId="6" fillId="2" borderId="12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6" xfId="0" applyFont="1" applyFill="1" applyBorder="1" applyAlignment="1">
      <alignment wrapText="1"/>
    </xf>
    <xf numFmtId="0" fontId="2" fillId="0" borderId="9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6" fillId="0" borderId="9" xfId="0" applyFont="1" applyBorder="1" applyAlignment="1">
      <alignment wrapText="1"/>
    </xf>
    <xf numFmtId="4" fontId="6" fillId="0" borderId="12" xfId="0" applyNumberFormat="1" applyFont="1" applyBorder="1"/>
    <xf numFmtId="0" fontId="2" fillId="0" borderId="3" xfId="0" applyFont="1" applyBorder="1" applyAlignment="1">
      <alignment horizontal="center" wrapText="1"/>
    </xf>
    <xf numFmtId="10" fontId="2" fillId="0" borderId="0" xfId="0" applyNumberFormat="1" applyFont="1" applyAlignment="1">
      <alignment horizontal="center"/>
    </xf>
    <xf numFmtId="3" fontId="0" fillId="0" borderId="0" xfId="0" applyNumberFormat="1"/>
    <xf numFmtId="165" fontId="0" fillId="0" borderId="0" xfId="3" applyNumberFormat="1" applyFont="1"/>
    <xf numFmtId="10" fontId="0" fillId="0" borderId="0" xfId="4" applyNumberFormat="1" applyFont="1"/>
    <xf numFmtId="3" fontId="0" fillId="0" borderId="0" xfId="0" applyNumberFormat="1" applyBorder="1"/>
    <xf numFmtId="10" fontId="0" fillId="0" borderId="0" xfId="0" applyNumberFormat="1"/>
    <xf numFmtId="3" fontId="3" fillId="0" borderId="0" xfId="0" applyNumberFormat="1" applyFont="1"/>
    <xf numFmtId="167" fontId="3" fillId="0" borderId="0" xfId="0" applyNumberFormat="1" applyFont="1"/>
    <xf numFmtId="0" fontId="27" fillId="0" borderId="0" xfId="0" applyFont="1"/>
    <xf numFmtId="6" fontId="0" fillId="0" borderId="0" xfId="0" applyNumberFormat="1"/>
    <xf numFmtId="4" fontId="5" fillId="0" borderId="0" xfId="0" applyNumberFormat="1" applyFont="1" applyFill="1"/>
    <xf numFmtId="2" fontId="7" fillId="2" borderId="0" xfId="0" applyNumberFormat="1" applyFont="1" applyFill="1"/>
    <xf numFmtId="10" fontId="5" fillId="2" borderId="0" xfId="0" applyNumberFormat="1" applyFont="1" applyFill="1" applyBorder="1" applyAlignment="1">
      <alignment horizontal="left"/>
    </xf>
    <xf numFmtId="4" fontId="6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4" fontId="2" fillId="0" borderId="0" xfId="1" applyNumberFormat="1" applyFont="1" applyFill="1" applyBorder="1"/>
    <xf numFmtId="4" fontId="6" fillId="0" borderId="16" xfId="0" applyNumberFormat="1" applyFont="1" applyFill="1" applyBorder="1"/>
    <xf numFmtId="4" fontId="6" fillId="0" borderId="16" xfId="0" applyNumberFormat="1" applyFont="1" applyBorder="1"/>
    <xf numFmtId="3" fontId="3" fillId="2" borderId="0" xfId="4" applyNumberFormat="1" applyFont="1" applyFill="1" applyBorder="1"/>
    <xf numFmtId="4" fontId="2" fillId="0" borderId="12" xfId="0" applyNumberFormat="1" applyFont="1" applyBorder="1"/>
    <xf numFmtId="4" fontId="2" fillId="0" borderId="16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/>
    <xf numFmtId="4" fontId="6" fillId="0" borderId="0" xfId="0" applyNumberFormat="1" applyFont="1" applyBorder="1" applyAlignment="1">
      <alignment horizontal="center" wrapText="1"/>
    </xf>
    <xf numFmtId="4" fontId="6" fillId="2" borderId="14" xfId="0" applyNumberFormat="1" applyFont="1" applyFill="1" applyBorder="1"/>
    <xf numFmtId="0" fontId="2" fillId="0" borderId="10" xfId="0" applyFont="1" applyFill="1" applyBorder="1" applyAlignment="1">
      <alignment wrapText="1"/>
    </xf>
    <xf numFmtId="10" fontId="2" fillId="0" borderId="6" xfId="0" applyNumberFormat="1" applyFont="1" applyBorder="1"/>
    <xf numFmtId="3" fontId="27" fillId="2" borderId="0" xfId="0" applyNumberFormat="1" applyFont="1" applyFill="1"/>
    <xf numFmtId="4" fontId="7" fillId="0" borderId="0" xfId="0" applyNumberFormat="1" applyFont="1"/>
    <xf numFmtId="4" fontId="2" fillId="2" borderId="14" xfId="0" applyNumberFormat="1" applyFont="1" applyFill="1" applyBorder="1"/>
    <xf numFmtId="10" fontId="5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3" fontId="0" fillId="0" borderId="0" xfId="0" applyNumberFormat="1" applyFill="1" applyBorder="1"/>
    <xf numFmtId="4" fontId="2" fillId="0" borderId="13" xfId="0" applyNumberFormat="1" applyFont="1" applyFill="1" applyBorder="1"/>
    <xf numFmtId="0" fontId="23" fillId="0" borderId="24" xfId="0" applyFont="1" applyBorder="1" applyAlignment="1">
      <alignment horizontal="right"/>
    </xf>
    <xf numFmtId="166" fontId="6" fillId="4" borderId="0" xfId="1" applyNumberFormat="1" applyFont="1" applyFill="1" applyBorder="1"/>
    <xf numFmtId="0" fontId="7" fillId="2" borderId="0" xfId="0" applyFont="1" applyFill="1" applyBorder="1" applyAlignment="1"/>
    <xf numFmtId="0" fontId="28" fillId="2" borderId="0" xfId="0" applyFont="1" applyFill="1" applyAlignment="1"/>
    <xf numFmtId="10" fontId="8" fillId="2" borderId="0" xfId="4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4" fontId="2" fillId="2" borderId="0" xfId="0" applyNumberFormat="1" applyFont="1" applyFill="1" applyBorder="1"/>
    <xf numFmtId="4" fontId="6" fillId="2" borderId="0" xfId="0" applyNumberFormat="1" applyFont="1" applyFill="1" applyBorder="1"/>
    <xf numFmtId="4" fontId="7" fillId="2" borderId="0" xfId="0" applyNumberFormat="1" applyFont="1" applyFill="1" applyBorder="1"/>
    <xf numFmtId="4" fontId="11" fillId="2" borderId="0" xfId="0" applyNumberFormat="1" applyFont="1" applyFill="1" applyBorder="1" applyAlignment="1">
      <alignment horizontal="right"/>
    </xf>
    <xf numFmtId="4" fontId="11" fillId="2" borderId="0" xfId="0" applyNumberFormat="1" applyFont="1" applyFill="1" applyBorder="1"/>
    <xf numFmtId="4" fontId="13" fillId="2" borderId="0" xfId="0" applyNumberFormat="1" applyFont="1" applyFill="1" applyBorder="1"/>
    <xf numFmtId="0" fontId="13" fillId="2" borderId="0" xfId="0" applyFont="1" applyFill="1" applyBorder="1"/>
    <xf numFmtId="4" fontId="2" fillId="2" borderId="0" xfId="0" applyNumberFormat="1" applyFont="1" applyFill="1" applyBorder="1" applyAlignment="1">
      <alignment wrapText="1"/>
    </xf>
    <xf numFmtId="4" fontId="6" fillId="2" borderId="0" xfId="0" applyNumberFormat="1" applyFont="1" applyFill="1" applyAlignment="1">
      <alignment wrapText="1"/>
    </xf>
    <xf numFmtId="4" fontId="6" fillId="2" borderId="0" xfId="0" applyNumberFormat="1" applyFont="1" applyFill="1"/>
    <xf numFmtId="4" fontId="6" fillId="0" borderId="2" xfId="0" applyNumberFormat="1" applyFont="1" applyBorder="1"/>
    <xf numFmtId="4" fontId="2" fillId="0" borderId="2" xfId="0" applyNumberFormat="1" applyFont="1" applyBorder="1"/>
    <xf numFmtId="4" fontId="2" fillId="0" borderId="2" xfId="0" applyNumberFormat="1" applyFont="1" applyFill="1" applyBorder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2" borderId="0" xfId="0" applyFont="1" applyFill="1" applyAlignment="1">
      <alignment horizontal="right"/>
    </xf>
    <xf numFmtId="4" fontId="2" fillId="0" borderId="0" xfId="0" applyNumberFormat="1" applyFont="1" applyFill="1" applyBorder="1" applyAlignment="1">
      <alignment wrapText="1"/>
    </xf>
    <xf numFmtId="0" fontId="6" fillId="0" borderId="8" xfId="0" applyFont="1" applyBorder="1" applyAlignment="1">
      <alignment horizontal="center"/>
    </xf>
    <xf numFmtId="166" fontId="6" fillId="0" borderId="4" xfId="1" applyNumberFormat="1" applyFont="1" applyFill="1" applyBorder="1"/>
    <xf numFmtId="10" fontId="2" fillId="0" borderId="5" xfId="0" applyNumberFormat="1" applyFont="1" applyFill="1" applyBorder="1" applyAlignment="1">
      <alignment horizontal="center"/>
    </xf>
    <xf numFmtId="166" fontId="6" fillId="0" borderId="6" xfId="1" applyNumberFormat="1" applyFont="1" applyFill="1" applyBorder="1"/>
    <xf numFmtId="10" fontId="2" fillId="0" borderId="7" xfId="0" applyNumberFormat="1" applyFont="1" applyFill="1" applyBorder="1" applyAlignment="1">
      <alignment horizontal="center"/>
    </xf>
    <xf numFmtId="166" fontId="6" fillId="0" borderId="16" xfId="1" applyNumberFormat="1" applyFont="1" applyFill="1" applyBorder="1"/>
    <xf numFmtId="10" fontId="2" fillId="0" borderId="31" xfId="0" applyNumberFormat="1" applyFont="1" applyFill="1" applyBorder="1" applyAlignment="1">
      <alignment horizontal="center"/>
    </xf>
    <xf numFmtId="0" fontId="13" fillId="2" borderId="5" xfId="0" applyFont="1" applyFill="1" applyBorder="1"/>
    <xf numFmtId="4" fontId="6" fillId="2" borderId="12" xfId="0" applyNumberFormat="1" applyFont="1" applyFill="1" applyBorder="1"/>
    <xf numFmtId="0" fontId="2" fillId="0" borderId="31" xfId="0" applyFont="1" applyBorder="1" applyAlignment="1">
      <alignment horizontal="center" wrapText="1"/>
    </xf>
    <xf numFmtId="4" fontId="13" fillId="2" borderId="6" xfId="0" applyNumberFormat="1" applyFont="1" applyFill="1" applyBorder="1"/>
    <xf numFmtId="0" fontId="7" fillId="2" borderId="0" xfId="0" applyFont="1" applyFill="1" applyBorder="1"/>
    <xf numFmtId="4" fontId="7" fillId="2" borderId="5" xfId="0" applyNumberFormat="1" applyFont="1" applyFill="1" applyBorder="1"/>
    <xf numFmtId="4" fontId="6" fillId="0" borderId="2" xfId="0" applyNumberFormat="1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49" fontId="6" fillId="0" borderId="6" xfId="0" applyNumberFormat="1" applyFont="1" applyBorder="1" applyAlignment="1"/>
    <xf numFmtId="0" fontId="0" fillId="0" borderId="7" xfId="0" applyBorder="1"/>
    <xf numFmtId="0" fontId="2" fillId="0" borderId="2" xfId="0" applyFont="1" applyBorder="1" applyAlignment="1">
      <alignment horizontal="center" wrapText="1"/>
    </xf>
    <xf numFmtId="4" fontId="6" fillId="0" borderId="9" xfId="0" applyNumberFormat="1" applyFont="1" applyBorder="1" applyAlignment="1">
      <alignment horizontal="center" wrapText="1"/>
    </xf>
    <xf numFmtId="4" fontId="6" fillId="2" borderId="2" xfId="0" applyNumberFormat="1" applyFont="1" applyFill="1" applyBorder="1"/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4" fontId="6" fillId="2" borderId="16" xfId="0" applyNumberFormat="1" applyFont="1" applyFill="1" applyBorder="1"/>
    <xf numFmtId="4" fontId="6" fillId="2" borderId="31" xfId="0" applyNumberFormat="1" applyFont="1" applyFill="1" applyBorder="1"/>
    <xf numFmtId="0" fontId="6" fillId="0" borderId="9" xfId="0" applyFont="1" applyBorder="1" applyAlignment="1">
      <alignment horizontal="center" wrapText="1"/>
    </xf>
    <xf numFmtId="4" fontId="6" fillId="0" borderId="7" xfId="0" applyNumberFormat="1" applyFont="1" applyBorder="1" applyAlignment="1">
      <alignment horizontal="center" wrapText="1"/>
    </xf>
    <xf numFmtId="4" fontId="2" fillId="0" borderId="7" xfId="0" applyNumberFormat="1" applyFont="1" applyBorder="1"/>
    <xf numFmtId="4" fontId="6" fillId="0" borderId="7" xfId="0" applyNumberFormat="1" applyFont="1" applyBorder="1" applyAlignment="1">
      <alignment horizontal="right"/>
    </xf>
    <xf numFmtId="0" fontId="2" fillId="0" borderId="7" xfId="0" applyFont="1" applyBorder="1"/>
    <xf numFmtId="4" fontId="29" fillId="0" borderId="0" xfId="0" applyNumberFormat="1" applyFont="1"/>
    <xf numFmtId="0" fontId="2" fillId="0" borderId="2" xfId="0" applyFont="1" applyBorder="1" applyAlignment="1"/>
    <xf numFmtId="0" fontId="0" fillId="0" borderId="2" xfId="0" applyBorder="1" applyAlignment="1"/>
    <xf numFmtId="0" fontId="3" fillId="0" borderId="1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10" fontId="5" fillId="2" borderId="0" xfId="0" applyNumberFormat="1" applyFont="1" applyFill="1" applyBorder="1" applyAlignment="1">
      <alignment horizontal="left"/>
    </xf>
    <xf numFmtId="0" fontId="0" fillId="0" borderId="0" xfId="0" applyAlignment="1"/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49" fontId="3" fillId="0" borderId="4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Border="1" applyAlignment="1"/>
    <xf numFmtId="49" fontId="5" fillId="0" borderId="0" xfId="0" applyNumberFormat="1" applyFont="1" applyBorder="1" applyAlignment="1">
      <alignment readingOrder="1"/>
    </xf>
    <xf numFmtId="0" fontId="23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2" borderId="0" xfId="0" applyFont="1" applyFill="1" applyAlignment="1">
      <alignment horizontal="left"/>
    </xf>
    <xf numFmtId="0" fontId="0" fillId="0" borderId="0" xfId="0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Border="1" applyAlignment="1"/>
    <xf numFmtId="0" fontId="10" fillId="2" borderId="0" xfId="2" applyFont="1" applyFill="1" applyBorder="1" applyAlignment="1" applyProtection="1"/>
    <xf numFmtId="0" fontId="2" fillId="0" borderId="0" xfId="0" applyFont="1" applyAlignment="1">
      <alignment horizontal="left" wrapText="1"/>
    </xf>
    <xf numFmtId="0" fontId="17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5" xfId="0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4" fontId="5" fillId="0" borderId="16" xfId="0" applyNumberFormat="1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" fontId="2" fillId="2" borderId="0" xfId="0" applyNumberFormat="1" applyFont="1" applyFill="1" applyAlignment="1">
      <alignment wrapText="1"/>
    </xf>
    <xf numFmtId="0" fontId="0" fillId="2" borderId="0" xfId="0" applyFill="1" applyAlignment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5">
    <cellStyle name="Euro" xfId="1"/>
    <cellStyle name="Lien hypertexte" xfId="2" builtinId="8"/>
    <cellStyle name="Milliers" xfId="3" builtinId="3"/>
    <cellStyle name="Normal" xfId="0" builtinId="0"/>
    <cellStyle name="Pourcentage" xfId="4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e@union-habitat.org?subject=Question%20test%20d'absence%20de%20surcompensation%20convention%20FEDER%20OHLM" TargetMode="External"/><Relationship Id="rId13" Type="http://schemas.openxmlformats.org/officeDocument/2006/relationships/hyperlink" Target="http://www.legifrance.gouv.fr/affichCode.do;jsessionid=872A9FEFE1E1081F1322A81E25487843.tpdjo12v_1?idSectionTA=LEGISCTA000006177812&amp;cidTexte=LEGITEXT000006074096&amp;dateTexte=20130504" TargetMode="External"/><Relationship Id="rId18" Type="http://schemas.openxmlformats.org/officeDocument/2006/relationships/hyperlink" Target="http://www.union-habitat.eu/IMG/pdf/lola_note_tech_28_dec_2011.pdf" TargetMode="External"/><Relationship Id="rId3" Type="http://schemas.openxmlformats.org/officeDocument/2006/relationships/hyperlink" Target="http://www.tresor.economie.gouv.fr/4164_taux-moyen-de-rendement-des-obligations-des-societes-privees" TargetMode="External"/><Relationship Id="rId21" Type="http://schemas.openxmlformats.org/officeDocument/2006/relationships/hyperlink" Target="http://www.union-habitat.eu/IMG/pdf/lola_note_tech_28_dec_2011.pdf" TargetMode="External"/><Relationship Id="rId7" Type="http://schemas.openxmlformats.org/officeDocument/2006/relationships/hyperlink" Target="mailto:ue@union-habitat.org?subject=Question%20test%20d'absence%20de%20surcompensation%20convention%20FEDER%20OHLM" TargetMode="External"/><Relationship Id="rId12" Type="http://schemas.openxmlformats.org/officeDocument/2006/relationships/hyperlink" Target="http://www.legifrance.gouv.fr/affichCode.do;jsessionid=872A9FEFE1E1081F1322A81E25487843.tpdjo12v_1?idSectionTA=LEGISCTA000021393713&amp;cidTexte=LEGITEXT000006074096&amp;dateTexte=20130504" TargetMode="External"/><Relationship Id="rId17" Type="http://schemas.openxmlformats.org/officeDocument/2006/relationships/hyperlink" Target="http://www.union-habitat.eu/IMG/pdf/lola_note_tech_28_dec_2011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ue@union-habitat.org?subject=Question%20test%20d'absence%20de%20surcompensation%20convention%20FEDER%20OHLM" TargetMode="External"/><Relationship Id="rId16" Type="http://schemas.openxmlformats.org/officeDocument/2006/relationships/hyperlink" Target="http://www.union-habitat.eu/IMG/pdf/lola_note_tech_28_dec_2011.pdf" TargetMode="External"/><Relationship Id="rId20" Type="http://schemas.openxmlformats.org/officeDocument/2006/relationships/hyperlink" Target="http://www.union-habitat.eu/IMG/pdf/lola_note_tech_28_dec_2011.pdf" TargetMode="External"/><Relationship Id="rId1" Type="http://schemas.openxmlformats.org/officeDocument/2006/relationships/hyperlink" Target="mailto:ue@union-habitat.org?subject=Question%20test%20d'absence%20de%20surcompensation%20convention%20FEDER%20OHLM" TargetMode="External"/><Relationship Id="rId6" Type="http://schemas.openxmlformats.org/officeDocument/2006/relationships/hyperlink" Target="mailto:ue@union-habitat.org?subject=Question%20test%20d'absence%20de%20surcompensation%20convention%20FEDER%20OHLM" TargetMode="External"/><Relationship Id="rId11" Type="http://schemas.openxmlformats.org/officeDocument/2006/relationships/hyperlink" Target="http://www.legifrance.gouv.fr/affichCode.do?cidTexte=LEGITEXT000006074096" TargetMode="External"/><Relationship Id="rId24" Type="http://schemas.openxmlformats.org/officeDocument/2006/relationships/hyperlink" Target="http://www.union-habitat.eu/IMG/pdf/final_28_novembre_2005.pdf" TargetMode="External"/><Relationship Id="rId5" Type="http://schemas.openxmlformats.org/officeDocument/2006/relationships/hyperlink" Target="http://eur-lex.europa.eu/LexUriServ/LexUriServ.do?uri=OJ:C:2012:326:0047:0390:FR:HTML" TargetMode="External"/><Relationship Id="rId15" Type="http://schemas.openxmlformats.org/officeDocument/2006/relationships/hyperlink" Target="http://www.union-habitat.eu/IMG/doc/Note_justificative_du_mandat_SIEG-2.doc" TargetMode="External"/><Relationship Id="rId23" Type="http://schemas.openxmlformats.org/officeDocument/2006/relationships/hyperlink" Target="http://www.union-habitat.eu/IMG/pdf/lola_note_tech_28_dec_2011.pdf" TargetMode="External"/><Relationship Id="rId10" Type="http://schemas.openxmlformats.org/officeDocument/2006/relationships/hyperlink" Target="mailto:ue@union-habitat.org?subject=Question%20test%20d'absence%20de%20surcompensation%20convention%20FEDER%20OHLM" TargetMode="External"/><Relationship Id="rId19" Type="http://schemas.openxmlformats.org/officeDocument/2006/relationships/hyperlink" Target="http://www.union-habitat.eu/IMG/pdf/lola_note_tech_28_dec_2011.pdf" TargetMode="External"/><Relationship Id="rId4" Type="http://schemas.openxmlformats.org/officeDocument/2006/relationships/hyperlink" Target="http://eur-lex.europa.eu/LexUriServ/LexUriServ.do?uri=OJ:L:2012:007:0003:0010:FR:PDF" TargetMode="External"/><Relationship Id="rId9" Type="http://schemas.openxmlformats.org/officeDocument/2006/relationships/hyperlink" Target="mailto:ue@union-habitat.org?subject=Question%20test%20d'absence%20de%20surcompensation%20convention%20FEDER%20OHLM" TargetMode="External"/><Relationship Id="rId14" Type="http://schemas.openxmlformats.org/officeDocument/2006/relationships/hyperlink" Target="http://www.legifrance.gouv.fr/affichCode.do?idArticle=LEGIARTI000006825180&amp;idSectionTA=LEGISCTA000006159063&amp;cidTexte=LEGITEXT000006074096&amp;dateTexte=20130504" TargetMode="External"/><Relationship Id="rId22" Type="http://schemas.openxmlformats.org/officeDocument/2006/relationships/hyperlink" Target="http://www.union-habitat.eu/IMG/pdf/lola_note_tech_28_dec_201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ue@union-habitat.org?subject=Question%20test%20d'absence%20de%20surcompensation%20convention%20FEDER%20OHLM" TargetMode="External"/><Relationship Id="rId1" Type="http://schemas.openxmlformats.org/officeDocument/2006/relationships/hyperlink" Target="mailto:ue@union-habitat.org?subject=Question%20test%20d'absence%20de%20surcompensation%20convention%20FEDER%20OHL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ue@union-habitat.org?subject=Question%20test%20d'absence%20de%20surcompensation%20convention%20FEDER%20OHLM" TargetMode="External"/><Relationship Id="rId2" Type="http://schemas.openxmlformats.org/officeDocument/2006/relationships/hyperlink" Target="http://union-habitat.eu/?rubrique230" TargetMode="External"/><Relationship Id="rId1" Type="http://schemas.openxmlformats.org/officeDocument/2006/relationships/hyperlink" Target="http://eur-lex.europa.eu/LexUriServ/LexUriServ.do?uri=OJ:L:2012:007:0003:0010:FR:PDF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9"/>
  <sheetViews>
    <sheetView tabSelected="1" zoomScaleNormal="120" workbookViewId="0">
      <selection activeCell="I162" sqref="I162"/>
    </sheetView>
  </sheetViews>
  <sheetFormatPr baseColWidth="10" defaultRowHeight="13.2"/>
  <cols>
    <col min="1" max="1" width="16.5546875" customWidth="1"/>
    <col min="2" max="2" width="12.6640625" customWidth="1"/>
    <col min="3" max="3" width="13.88671875" customWidth="1"/>
    <col min="4" max="4" width="13.88671875" bestFit="1" customWidth="1"/>
    <col min="5" max="5" width="13" customWidth="1"/>
    <col min="6" max="6" width="12.6640625" customWidth="1"/>
    <col min="7" max="7" width="12.44140625" bestFit="1" customWidth="1"/>
    <col min="8" max="8" width="12.44140625" customWidth="1"/>
    <col min="9" max="9" width="11.6640625" bestFit="1" customWidth="1"/>
    <col min="10" max="10" width="13.109375" bestFit="1" customWidth="1"/>
    <col min="11" max="11" width="13" bestFit="1" customWidth="1"/>
    <col min="12" max="12" width="11.6640625" bestFit="1" customWidth="1"/>
  </cols>
  <sheetData>
    <row r="1" spans="1:11" s="1" customFormat="1" ht="13.8" thickBot="1">
      <c r="A1" s="457" t="s">
        <v>430</v>
      </c>
      <c r="B1" s="458"/>
    </row>
    <row r="2" spans="1:11">
      <c r="A2" s="466" t="s">
        <v>281</v>
      </c>
      <c r="B2" s="467"/>
      <c r="C2" s="467"/>
      <c r="D2" s="467"/>
      <c r="E2" s="467"/>
      <c r="F2" s="467"/>
      <c r="G2" s="467"/>
      <c r="H2" s="468"/>
      <c r="I2" s="468"/>
      <c r="J2" s="468"/>
      <c r="K2" s="469"/>
    </row>
    <row r="3" spans="1:11">
      <c r="A3" s="442"/>
      <c r="B3" s="287"/>
      <c r="C3" s="287"/>
      <c r="D3" s="287"/>
      <c r="E3" s="296"/>
      <c r="F3" s="296"/>
      <c r="G3" s="296"/>
      <c r="H3" s="296"/>
      <c r="I3" s="296"/>
      <c r="J3" s="296"/>
      <c r="K3" s="443"/>
    </row>
    <row r="4" spans="1:11" s="5" customFormat="1">
      <c r="A4" s="470" t="s">
        <v>321</v>
      </c>
      <c r="B4" s="471"/>
      <c r="C4" s="471"/>
      <c r="D4" s="471"/>
      <c r="E4" s="471"/>
      <c r="F4" s="471"/>
      <c r="G4" s="471"/>
      <c r="H4" s="471"/>
      <c r="I4" s="471"/>
      <c r="J4" s="471"/>
      <c r="K4" s="472"/>
    </row>
    <row r="5" spans="1:11" s="5" customFormat="1" ht="13.8" thickBot="1">
      <c r="A5" s="459" t="s">
        <v>34</v>
      </c>
      <c r="B5" s="460"/>
      <c r="C5" s="460"/>
      <c r="D5" s="460"/>
      <c r="E5" s="460"/>
      <c r="F5" s="460"/>
      <c r="G5" s="460"/>
      <c r="H5" s="460"/>
      <c r="I5" s="460"/>
      <c r="J5" s="460"/>
      <c r="K5" s="461"/>
    </row>
    <row r="6" spans="1:11" s="5" customFormat="1">
      <c r="A6" s="3"/>
      <c r="C6" s="5" t="s">
        <v>91</v>
      </c>
    </row>
    <row r="7" spans="1:11" s="5" customFormat="1" ht="10.199999999999999">
      <c r="A7" s="5" t="s">
        <v>56</v>
      </c>
    </row>
    <row r="8" spans="1:11" s="5" customFormat="1" ht="10.199999999999999"/>
    <row r="9" spans="1:11" s="5" customFormat="1">
      <c r="A9" s="3"/>
      <c r="B9" s="5" t="s">
        <v>208</v>
      </c>
      <c r="C9" s="272" t="s">
        <v>209</v>
      </c>
      <c r="D9" s="5" t="s">
        <v>282</v>
      </c>
    </row>
    <row r="10" spans="1:11" s="317" customFormat="1" ht="10.199999999999999">
      <c r="C10" s="318"/>
      <c r="D10" s="119" t="s">
        <v>89</v>
      </c>
    </row>
    <row r="11" spans="1:11" s="4" customFormat="1" ht="10.199999999999999">
      <c r="C11" s="318"/>
      <c r="D11" s="4" t="s">
        <v>87</v>
      </c>
    </row>
    <row r="12" spans="1:11" s="4" customFormat="1" ht="10.199999999999999">
      <c r="C12" s="318"/>
      <c r="D12" s="4" t="s">
        <v>88</v>
      </c>
    </row>
    <row r="13" spans="1:11" s="4" customFormat="1" ht="10.199999999999999">
      <c r="C13" s="318"/>
    </row>
    <row r="14" spans="1:11" s="5" customFormat="1">
      <c r="A14" s="169"/>
      <c r="B14" s="5" t="s">
        <v>19</v>
      </c>
      <c r="C14" s="273" t="s">
        <v>165</v>
      </c>
      <c r="D14" s="5" t="s">
        <v>86</v>
      </c>
    </row>
    <row r="15" spans="1:11" s="5" customFormat="1">
      <c r="A15" s="169"/>
      <c r="C15" s="170"/>
      <c r="D15" s="4" t="s">
        <v>90</v>
      </c>
    </row>
    <row r="16" spans="1:11" s="5" customFormat="1">
      <c r="A16" s="169"/>
      <c r="C16" s="316" t="s">
        <v>85</v>
      </c>
      <c r="D16" s="5" t="s">
        <v>18</v>
      </c>
    </row>
    <row r="17" spans="1:8" s="5" customFormat="1">
      <c r="A17" s="169"/>
      <c r="C17" s="170"/>
    </row>
    <row r="18" spans="1:8" s="5" customFormat="1">
      <c r="A18" s="169"/>
      <c r="B18" s="5" t="s">
        <v>322</v>
      </c>
      <c r="C18" s="170"/>
    </row>
    <row r="19" spans="1:8" s="5" customFormat="1">
      <c r="A19" s="169"/>
      <c r="C19" s="4" t="s">
        <v>22</v>
      </c>
      <c r="D19" s="4" t="s">
        <v>20</v>
      </c>
      <c r="E19" s="4"/>
      <c r="F19" s="4"/>
      <c r="G19" s="4"/>
    </row>
    <row r="20" spans="1:8" s="5" customFormat="1">
      <c r="A20" s="169"/>
      <c r="B20" s="5" t="s">
        <v>91</v>
      </c>
      <c r="C20" s="4" t="s">
        <v>163</v>
      </c>
      <c r="D20" s="4" t="s">
        <v>21</v>
      </c>
      <c r="E20" s="4"/>
      <c r="F20" s="4"/>
      <c r="G20" s="4"/>
    </row>
    <row r="21" spans="1:8" s="5" customFormat="1">
      <c r="A21" s="169" t="s">
        <v>91</v>
      </c>
      <c r="C21" s="4" t="s">
        <v>164</v>
      </c>
      <c r="D21" s="4" t="s">
        <v>302</v>
      </c>
      <c r="E21" s="4"/>
      <c r="F21" s="4"/>
      <c r="G21" s="4"/>
    </row>
    <row r="22" spans="1:8" s="5" customFormat="1">
      <c r="A22" s="169"/>
      <c r="C22" s="4" t="s">
        <v>172</v>
      </c>
      <c r="D22" s="4" t="s">
        <v>173</v>
      </c>
      <c r="E22" s="4"/>
      <c r="F22" s="4"/>
      <c r="G22" s="4"/>
    </row>
    <row r="23" spans="1:8" s="5" customFormat="1">
      <c r="A23" s="169"/>
      <c r="C23" s="4" t="s">
        <v>168</v>
      </c>
      <c r="D23" s="4" t="s">
        <v>178</v>
      </c>
      <c r="E23" s="4"/>
      <c r="F23" s="4"/>
      <c r="G23" s="4"/>
    </row>
    <row r="24" spans="1:8" s="5" customFormat="1">
      <c r="A24" s="169"/>
      <c r="C24" s="4"/>
      <c r="D24" s="4"/>
      <c r="E24" s="4"/>
      <c r="F24" s="4"/>
      <c r="G24" s="4"/>
    </row>
    <row r="25" spans="1:8" s="5" customFormat="1">
      <c r="A25" s="169"/>
      <c r="B25" s="5" t="s">
        <v>57</v>
      </c>
      <c r="C25" s="4"/>
      <c r="D25" s="4"/>
      <c r="E25" s="4"/>
      <c r="F25" s="4"/>
      <c r="G25" s="4"/>
    </row>
    <row r="26" spans="1:8" s="5" customFormat="1">
      <c r="A26" s="169"/>
      <c r="B26" s="5" t="s">
        <v>91</v>
      </c>
      <c r="C26" s="281" t="s">
        <v>261</v>
      </c>
      <c r="D26" s="4" t="s">
        <v>23</v>
      </c>
      <c r="E26" s="4"/>
      <c r="F26" s="4"/>
      <c r="G26" s="4"/>
      <c r="H26" s="4"/>
    </row>
    <row r="27" spans="1:8" s="5" customFormat="1">
      <c r="A27" s="169"/>
      <c r="C27" s="281" t="s">
        <v>267</v>
      </c>
      <c r="D27" s="4" t="s">
        <v>24</v>
      </c>
      <c r="E27" s="4"/>
      <c r="F27" s="4"/>
      <c r="G27" s="4"/>
      <c r="H27" s="4"/>
    </row>
    <row r="28" spans="1:8" s="5" customFormat="1">
      <c r="A28" s="169"/>
      <c r="C28" s="281" t="s">
        <v>265</v>
      </c>
      <c r="D28" s="4" t="s">
        <v>58</v>
      </c>
      <c r="E28" s="4"/>
      <c r="F28" s="4"/>
      <c r="G28" s="4"/>
      <c r="H28" s="4"/>
    </row>
    <row r="29" spans="1:8" s="5" customFormat="1">
      <c r="A29" s="169"/>
      <c r="C29" s="281" t="s">
        <v>266</v>
      </c>
      <c r="D29" s="4" t="s">
        <v>283</v>
      </c>
      <c r="E29" s="4"/>
      <c r="F29" s="4"/>
      <c r="G29" s="4"/>
      <c r="H29" s="4"/>
    </row>
    <row r="30" spans="1:8" s="5" customFormat="1">
      <c r="A30" s="169"/>
      <c r="C30" s="281" t="s">
        <v>329</v>
      </c>
      <c r="D30" s="4" t="s">
        <v>84</v>
      </c>
      <c r="E30" s="4"/>
      <c r="F30" s="4"/>
    </row>
    <row r="31" spans="1:8" s="5" customFormat="1">
      <c r="A31" s="3"/>
      <c r="C31" s="4"/>
      <c r="D31" s="4"/>
      <c r="E31" s="4"/>
      <c r="F31" s="4"/>
      <c r="G31" s="4"/>
    </row>
    <row r="32" spans="1:8" s="5" customFormat="1" ht="10.199999999999999">
      <c r="A32" s="5" t="s">
        <v>423</v>
      </c>
      <c r="C32" s="179"/>
      <c r="D32" s="179"/>
      <c r="E32" s="179"/>
      <c r="F32" s="179"/>
      <c r="G32" s="4"/>
    </row>
    <row r="33" spans="1:14" s="5" customFormat="1">
      <c r="A33" s="3"/>
      <c r="B33" s="4" t="s">
        <v>25</v>
      </c>
      <c r="C33" s="4"/>
      <c r="D33" s="4"/>
      <c r="E33" s="4"/>
      <c r="F33" s="4"/>
      <c r="G33" s="4"/>
      <c r="H33" s="4"/>
      <c r="I33" s="4"/>
    </row>
    <row r="34" spans="1:14" s="5" customFormat="1">
      <c r="A34" s="3"/>
      <c r="B34" s="4" t="s">
        <v>422</v>
      </c>
      <c r="C34" s="4"/>
      <c r="D34" s="4"/>
      <c r="E34" s="4"/>
      <c r="F34" s="4"/>
      <c r="G34" s="4"/>
      <c r="H34" s="4"/>
      <c r="I34" s="4"/>
    </row>
    <row r="35" spans="1:14" s="5" customFormat="1">
      <c r="A35" s="3"/>
      <c r="B35" s="4"/>
      <c r="C35" s="4" t="s">
        <v>59</v>
      </c>
      <c r="D35" s="4"/>
      <c r="E35" s="4"/>
      <c r="F35" s="4"/>
      <c r="G35" s="4"/>
      <c r="H35" s="4"/>
      <c r="I35" s="4"/>
    </row>
    <row r="36" spans="1:14" s="5" customFormat="1">
      <c r="A36" s="3"/>
      <c r="B36" s="4"/>
      <c r="C36" s="4" t="s">
        <v>7</v>
      </c>
      <c r="D36" s="4"/>
      <c r="E36" s="4"/>
      <c r="F36" s="4"/>
      <c r="G36" s="4"/>
      <c r="H36" s="4"/>
      <c r="I36" s="4"/>
    </row>
    <row r="37" spans="1:14" s="5" customFormat="1">
      <c r="A37" s="3"/>
      <c r="B37" s="4"/>
      <c r="C37" s="4" t="s">
        <v>8</v>
      </c>
      <c r="D37" s="4"/>
      <c r="E37" s="4"/>
      <c r="F37" s="4"/>
      <c r="G37" s="4"/>
      <c r="H37" s="4"/>
      <c r="I37" s="4"/>
    </row>
    <row r="38" spans="1:14" s="5" customFormat="1">
      <c r="A38" s="3"/>
      <c r="B38" s="4"/>
      <c r="C38" s="4" t="s">
        <v>26</v>
      </c>
      <c r="D38" s="4"/>
      <c r="E38" s="4"/>
      <c r="F38" s="4"/>
      <c r="G38" s="4"/>
      <c r="H38" s="4"/>
      <c r="I38" s="4"/>
    </row>
    <row r="39" spans="1:14" s="5" customFormat="1">
      <c r="A39" s="3"/>
      <c r="B39" s="4"/>
      <c r="C39" s="4" t="s">
        <v>9</v>
      </c>
      <c r="D39" s="4"/>
      <c r="E39" s="4"/>
      <c r="F39" s="4"/>
      <c r="G39" s="4"/>
      <c r="H39" s="4"/>
      <c r="I39" s="4"/>
    </row>
    <row r="40" spans="1:14" s="5" customFormat="1">
      <c r="A40" s="3"/>
      <c r="B40" s="4"/>
      <c r="C40" s="4" t="s">
        <v>10</v>
      </c>
      <c r="D40" s="4"/>
      <c r="E40" s="4"/>
      <c r="F40" s="4"/>
      <c r="G40" s="4"/>
      <c r="H40" s="4"/>
      <c r="I40" s="4"/>
    </row>
    <row r="41" spans="1:14" s="5" customFormat="1">
      <c r="A41" s="3"/>
      <c r="B41" s="4" t="s">
        <v>352</v>
      </c>
      <c r="C41" s="4"/>
      <c r="D41" s="4"/>
      <c r="E41" s="4"/>
      <c r="F41" s="4"/>
      <c r="G41" s="4"/>
      <c r="H41" s="4"/>
      <c r="I41" s="4"/>
    </row>
    <row r="42" spans="1:14" s="5" customFormat="1">
      <c r="A42" s="3"/>
      <c r="B42" s="4" t="s">
        <v>27</v>
      </c>
      <c r="C42" s="4"/>
      <c r="D42" s="4"/>
      <c r="E42" s="4"/>
      <c r="F42" s="4"/>
      <c r="G42" s="4"/>
      <c r="H42" s="4"/>
      <c r="I42" s="4"/>
    </row>
    <row r="43" spans="1:14" s="5" customFormat="1">
      <c r="A43" s="3"/>
      <c r="B43" s="4"/>
      <c r="C43" s="4"/>
      <c r="D43" s="4"/>
      <c r="E43" s="4"/>
      <c r="F43" s="4"/>
      <c r="G43" s="4"/>
      <c r="H43" s="4"/>
      <c r="I43" s="4"/>
    </row>
    <row r="44" spans="1:14" s="4" customFormat="1" ht="10.199999999999999">
      <c r="A44" s="5" t="s">
        <v>28</v>
      </c>
      <c r="B44" s="179"/>
      <c r="C44" s="179"/>
      <c r="D44" s="179"/>
      <c r="E44" s="179"/>
      <c r="F44" s="179"/>
    </row>
    <row r="45" spans="1:14" s="3" customFormat="1">
      <c r="A45" s="3" t="s">
        <v>91</v>
      </c>
      <c r="B45" s="441" t="s">
        <v>29</v>
      </c>
      <c r="C45" s="477" t="s">
        <v>32</v>
      </c>
      <c r="D45" s="463"/>
      <c r="E45" s="463"/>
      <c r="F45" s="463"/>
      <c r="G45" s="463"/>
      <c r="H45" s="463"/>
      <c r="I45" s="463"/>
      <c r="J45" s="463"/>
      <c r="K45" s="463"/>
    </row>
    <row r="46" spans="1:14" s="3" customFormat="1">
      <c r="B46" s="381" t="s">
        <v>29</v>
      </c>
      <c r="C46" s="477" t="s">
        <v>3</v>
      </c>
      <c r="D46" s="463"/>
      <c r="E46" s="463"/>
      <c r="F46" s="463"/>
      <c r="G46" s="463"/>
      <c r="H46" s="463"/>
      <c r="I46" s="463"/>
      <c r="J46" s="463"/>
      <c r="K46" s="463"/>
      <c r="N46" s="26"/>
    </row>
    <row r="47" spans="1:14" s="3" customFormat="1">
      <c r="B47" s="19"/>
      <c r="C47" s="4" t="s">
        <v>104</v>
      </c>
      <c r="E47" s="26"/>
      <c r="F47" s="4" t="s">
        <v>91</v>
      </c>
    </row>
    <row r="48" spans="1:14" s="3" customFormat="1">
      <c r="B48" s="289" t="s">
        <v>103</v>
      </c>
      <c r="C48" s="478" t="s">
        <v>30</v>
      </c>
      <c r="D48" s="463"/>
      <c r="E48" s="463"/>
      <c r="F48" s="463"/>
      <c r="G48" s="463"/>
      <c r="H48" s="463"/>
      <c r="I48" s="463"/>
      <c r="J48" s="463"/>
      <c r="K48" s="463"/>
    </row>
    <row r="49" spans="1:11" s="3" customFormat="1">
      <c r="B49" s="292" t="s">
        <v>288</v>
      </c>
      <c r="C49" s="29" t="s">
        <v>35</v>
      </c>
      <c r="D49" s="286"/>
      <c r="E49" s="286"/>
      <c r="F49" s="286"/>
      <c r="G49" s="286"/>
      <c r="H49" s="286"/>
      <c r="I49" s="286"/>
      <c r="J49" s="286"/>
      <c r="K49" s="286"/>
    </row>
    <row r="50" spans="1:11" s="4" customFormat="1" ht="10.199999999999999">
      <c r="B50" s="4" t="s">
        <v>250</v>
      </c>
      <c r="C50" s="29" t="s">
        <v>420</v>
      </c>
      <c r="D50" s="164"/>
      <c r="E50" s="164"/>
      <c r="F50" s="164"/>
      <c r="G50" s="164"/>
      <c r="H50" s="164"/>
      <c r="I50" s="164"/>
      <c r="J50" s="164"/>
      <c r="K50" s="164"/>
    </row>
    <row r="51" spans="1:11" s="4" customFormat="1" ht="10.199999999999999">
      <c r="B51" s="4" t="s">
        <v>251</v>
      </c>
      <c r="C51" s="29" t="s">
        <v>421</v>
      </c>
      <c r="D51" s="164"/>
      <c r="E51" s="164"/>
      <c r="F51" s="164"/>
      <c r="G51" s="164"/>
      <c r="H51" s="164"/>
      <c r="I51" s="164"/>
      <c r="J51" s="164"/>
      <c r="K51" s="164"/>
    </row>
    <row r="52" spans="1:11" s="3" customFormat="1">
      <c r="B52" s="4" t="s">
        <v>248</v>
      </c>
      <c r="C52" s="282" t="s">
        <v>95</v>
      </c>
      <c r="D52" s="31" t="s">
        <v>31</v>
      </c>
      <c r="E52" s="28"/>
      <c r="F52" s="4"/>
    </row>
    <row r="53" spans="1:11" s="3" customFormat="1">
      <c r="C53" s="29"/>
      <c r="D53" s="27"/>
      <c r="E53" s="28"/>
      <c r="F53" s="4"/>
    </row>
    <row r="54" spans="1:11" s="5" customFormat="1" ht="10.8" thickBot="1">
      <c r="A54" s="261" t="s">
        <v>260</v>
      </c>
      <c r="B54" s="261"/>
      <c r="C54" s="283" t="s">
        <v>95</v>
      </c>
      <c r="D54" s="261"/>
      <c r="E54" s="261"/>
      <c r="F54" s="262"/>
      <c r="G54" s="261"/>
      <c r="H54" s="263" t="s">
        <v>91</v>
      </c>
      <c r="I54" s="261"/>
      <c r="J54" s="261"/>
      <c r="K54" s="261"/>
    </row>
    <row r="55" spans="1:11" s="5" customFormat="1" ht="10.199999999999999">
      <c r="A55" s="5" t="s">
        <v>33</v>
      </c>
      <c r="F55" s="4"/>
    </row>
    <row r="56" spans="1:11" s="4" customFormat="1" ht="10.199999999999999">
      <c r="A56" s="4" t="s">
        <v>4</v>
      </c>
      <c r="C56" s="21" t="s">
        <v>291</v>
      </c>
      <c r="D56" s="21"/>
      <c r="E56" s="21"/>
      <c r="F56" s="21"/>
      <c r="G56" s="21"/>
      <c r="H56" s="21"/>
      <c r="I56" s="21"/>
      <c r="J56" s="21"/>
      <c r="K56" s="21"/>
    </row>
    <row r="57" spans="1:11" s="4" customFormat="1" ht="10.199999999999999">
      <c r="A57" s="4" t="s">
        <v>99</v>
      </c>
      <c r="C57" s="21" t="s">
        <v>5</v>
      </c>
      <c r="D57" s="21"/>
      <c r="E57" s="21"/>
      <c r="F57" s="21"/>
      <c r="G57" s="21"/>
      <c r="H57" s="21"/>
      <c r="I57" s="21"/>
      <c r="J57" s="21"/>
      <c r="K57" s="21"/>
    </row>
    <row r="58" spans="1:11" s="4" customFormat="1" ht="10.199999999999999">
      <c r="A58" s="4" t="s">
        <v>100</v>
      </c>
      <c r="C58" s="22" t="s">
        <v>292</v>
      </c>
      <c r="D58" s="21"/>
      <c r="E58" s="21"/>
      <c r="F58" s="21"/>
      <c r="G58" s="21"/>
      <c r="H58" s="21"/>
      <c r="I58" s="21"/>
      <c r="J58" s="21"/>
      <c r="K58" s="21"/>
    </row>
    <row r="59" spans="1:11" s="4" customFormat="1" ht="10.199999999999999">
      <c r="A59" s="4" t="s">
        <v>101</v>
      </c>
      <c r="C59" s="21" t="s">
        <v>6</v>
      </c>
      <c r="D59" s="21"/>
      <c r="E59" s="21"/>
      <c r="F59" s="21" t="s">
        <v>91</v>
      </c>
      <c r="G59" s="21"/>
      <c r="H59" s="21"/>
      <c r="I59" s="21"/>
      <c r="J59" s="21"/>
      <c r="K59" s="21"/>
    </row>
    <row r="60" spans="1:11" s="4" customFormat="1" ht="10.199999999999999">
      <c r="C60" s="20"/>
      <c r="D60" s="20"/>
      <c r="E60" s="20"/>
      <c r="F60" s="20"/>
      <c r="G60" s="20"/>
      <c r="H60" s="20"/>
      <c r="I60" s="20"/>
      <c r="J60" s="20"/>
      <c r="K60" s="20"/>
    </row>
    <row r="61" spans="1:11" s="4" customFormat="1" ht="10.199999999999999">
      <c r="C61" s="20"/>
      <c r="D61" s="20"/>
      <c r="E61" s="20"/>
      <c r="K61" s="292" t="s">
        <v>288</v>
      </c>
    </row>
    <row r="62" spans="1:11">
      <c r="A62" s="482" t="s">
        <v>133</v>
      </c>
      <c r="B62" s="483"/>
      <c r="C62" s="484"/>
      <c r="D62" s="61">
        <v>40497</v>
      </c>
      <c r="E62" s="474" t="s">
        <v>374</v>
      </c>
      <c r="F62" s="485"/>
      <c r="G62" s="485"/>
      <c r="H62" s="485"/>
      <c r="I62" s="485"/>
      <c r="J62" s="485"/>
      <c r="K62" s="485"/>
    </row>
    <row r="63" spans="1:11">
      <c r="A63" s="13"/>
      <c r="B63" s="14"/>
      <c r="C63" s="10" t="s">
        <v>111</v>
      </c>
      <c r="D63" s="21">
        <v>394</v>
      </c>
      <c r="E63" s="38" t="s">
        <v>123</v>
      </c>
      <c r="F63" s="38"/>
      <c r="G63" s="108"/>
      <c r="H63" s="25" t="s">
        <v>91</v>
      </c>
      <c r="I63" s="39" t="s">
        <v>91</v>
      </c>
      <c r="J63" s="7"/>
      <c r="K63" s="12"/>
    </row>
    <row r="64" spans="1:11">
      <c r="A64" s="13"/>
      <c r="B64" s="14"/>
      <c r="C64" s="10" t="s">
        <v>96</v>
      </c>
      <c r="D64" s="62">
        <v>44348</v>
      </c>
      <c r="E64" s="38" t="s">
        <v>105</v>
      </c>
      <c r="F64" s="108"/>
      <c r="G64" s="108"/>
      <c r="H64" s="112" t="s">
        <v>91</v>
      </c>
      <c r="I64" s="113" t="s">
        <v>91</v>
      </c>
      <c r="J64" s="7"/>
      <c r="K64" s="12"/>
    </row>
    <row r="65" spans="1:11">
      <c r="A65" s="13"/>
      <c r="B65" s="14"/>
      <c r="C65" s="10" t="s">
        <v>96</v>
      </c>
      <c r="D65" s="62">
        <v>31014</v>
      </c>
      <c r="E65" s="38" t="s">
        <v>108</v>
      </c>
      <c r="F65" s="108"/>
      <c r="G65" s="108"/>
      <c r="H65" s="112"/>
      <c r="I65" s="113"/>
      <c r="J65" s="7"/>
      <c r="K65" s="12"/>
    </row>
    <row r="66" spans="1:11">
      <c r="A66" s="13"/>
      <c r="B66" s="14"/>
      <c r="C66" s="10"/>
      <c r="D66" s="293"/>
      <c r="E66" s="20"/>
      <c r="F66" s="214"/>
      <c r="G66" s="214"/>
      <c r="H66" s="215"/>
      <c r="I66" s="216"/>
      <c r="J66" s="217"/>
      <c r="K66" s="218"/>
    </row>
    <row r="67" spans="1:11">
      <c r="A67" s="158"/>
      <c r="B67" s="14"/>
      <c r="C67" s="33" t="s">
        <v>307</v>
      </c>
      <c r="D67" s="293"/>
      <c r="E67" s="20"/>
      <c r="F67" s="214"/>
      <c r="G67" s="214"/>
      <c r="H67" s="215"/>
      <c r="I67" s="216"/>
      <c r="J67" s="217"/>
      <c r="K67" s="218"/>
    </row>
    <row r="68" spans="1:11">
      <c r="A68" s="158"/>
      <c r="B68" s="30"/>
      <c r="C68" s="34" t="s">
        <v>116</v>
      </c>
      <c r="D68" s="104">
        <v>6202642.6799999997</v>
      </c>
      <c r="E68" s="38" t="s">
        <v>289</v>
      </c>
      <c r="F68" s="108"/>
      <c r="G68" s="108"/>
      <c r="H68" s="112" t="s">
        <v>91</v>
      </c>
      <c r="I68" s="113" t="s">
        <v>91</v>
      </c>
      <c r="J68" s="7" t="s">
        <v>91</v>
      </c>
      <c r="K68" s="12"/>
    </row>
    <row r="69" spans="1:11">
      <c r="A69" s="13"/>
      <c r="B69" s="14"/>
      <c r="C69" s="10" t="s">
        <v>112</v>
      </c>
      <c r="D69" s="63">
        <v>15537438.65</v>
      </c>
      <c r="E69" s="38" t="s">
        <v>75</v>
      </c>
      <c r="F69" s="108"/>
      <c r="G69" s="108"/>
      <c r="H69" s="112"/>
      <c r="I69" s="113"/>
      <c r="J69" s="7"/>
      <c r="K69" s="12"/>
    </row>
    <row r="70" spans="1:11">
      <c r="A70" s="13"/>
      <c r="B70" s="14"/>
      <c r="C70" s="10" t="s">
        <v>375</v>
      </c>
      <c r="D70" s="338">
        <f>D68/D69</f>
        <v>0.39920625398575588</v>
      </c>
      <c r="E70" s="38" t="s">
        <v>303</v>
      </c>
      <c r="F70" s="108"/>
      <c r="G70" s="108"/>
      <c r="H70" s="112"/>
      <c r="I70" s="113"/>
      <c r="J70" s="7"/>
      <c r="K70" s="12"/>
    </row>
    <row r="71" spans="1:11">
      <c r="A71" s="13"/>
      <c r="B71" s="14"/>
      <c r="C71" s="10"/>
      <c r="D71" s="64"/>
      <c r="E71" s="20"/>
      <c r="F71" s="214"/>
      <c r="G71" s="214"/>
      <c r="H71" s="215"/>
      <c r="I71" s="216"/>
      <c r="J71" s="217"/>
      <c r="K71" s="218"/>
    </row>
    <row r="72" spans="1:11">
      <c r="A72" s="13"/>
      <c r="B72" s="30"/>
      <c r="C72" s="33" t="s">
        <v>212</v>
      </c>
      <c r="D72" s="64"/>
      <c r="E72" s="20"/>
      <c r="F72" s="214"/>
      <c r="G72" s="214"/>
      <c r="H72" s="215"/>
      <c r="I72" s="216"/>
      <c r="J72" s="217"/>
      <c r="K72" s="218"/>
    </row>
    <row r="73" spans="1:11">
      <c r="A73" s="13"/>
      <c r="B73" s="290"/>
      <c r="C73" s="291" t="s">
        <v>285</v>
      </c>
      <c r="D73" s="63">
        <v>33.159999999999997</v>
      </c>
      <c r="E73" s="473" t="s">
        <v>109</v>
      </c>
      <c r="F73" s="463"/>
      <c r="G73" s="463"/>
      <c r="H73" s="463"/>
      <c r="I73" s="463"/>
      <c r="J73" s="463"/>
      <c r="K73" s="297" t="s">
        <v>266</v>
      </c>
    </row>
    <row r="74" spans="1:11">
      <c r="A74" s="13"/>
      <c r="B74" s="14"/>
      <c r="C74" s="291" t="s">
        <v>284</v>
      </c>
      <c r="D74" s="229">
        <f>D133</f>
        <v>1.7000000000000001E-2</v>
      </c>
      <c r="E74" s="474" t="s">
        <v>376</v>
      </c>
      <c r="F74" s="474"/>
      <c r="G74" s="474"/>
      <c r="H74" s="474"/>
      <c r="I74" s="474"/>
      <c r="J74" s="474"/>
      <c r="K74" s="313" t="s">
        <v>293</v>
      </c>
    </row>
    <row r="75" spans="1:11">
      <c r="A75" s="13"/>
      <c r="B75" s="482" t="s">
        <v>124</v>
      </c>
      <c r="C75" s="486"/>
      <c r="D75" s="65">
        <v>30.93</v>
      </c>
      <c r="E75" s="38" t="s">
        <v>109</v>
      </c>
      <c r="F75" s="108"/>
      <c r="G75" s="108"/>
      <c r="H75" s="25"/>
      <c r="I75" s="39"/>
      <c r="J75" s="7"/>
      <c r="K75" s="298"/>
    </row>
    <row r="76" spans="1:11">
      <c r="A76" s="13"/>
      <c r="B76" s="14"/>
      <c r="C76" s="10" t="s">
        <v>125</v>
      </c>
      <c r="D76" s="66">
        <v>32.369999999999997</v>
      </c>
      <c r="E76" s="111" t="s">
        <v>106</v>
      </c>
      <c r="F76" s="294"/>
      <c r="G76" s="294"/>
      <c r="H76" s="25"/>
      <c r="I76" s="295"/>
      <c r="J76" s="105"/>
      <c r="K76" s="297" t="s">
        <v>294</v>
      </c>
    </row>
    <row r="77" spans="1:11">
      <c r="A77" s="13"/>
      <c r="B77" s="14"/>
      <c r="C77" s="10" t="s">
        <v>102</v>
      </c>
      <c r="D77" s="67">
        <f>+D76-D75</f>
        <v>1.4399999999999977</v>
      </c>
      <c r="E77" s="38" t="s">
        <v>109</v>
      </c>
      <c r="F77" s="108"/>
      <c r="G77" s="108"/>
      <c r="H77" s="25"/>
      <c r="I77" s="39"/>
      <c r="J77" s="7"/>
      <c r="K77" s="298"/>
    </row>
    <row r="78" spans="1:11">
      <c r="A78" s="13"/>
      <c r="B78" s="14"/>
      <c r="C78" s="10" t="s">
        <v>119</v>
      </c>
      <c r="D78" s="67">
        <f>D77*D70</f>
        <v>0.5748570057394875</v>
      </c>
      <c r="E78" s="38" t="s">
        <v>317</v>
      </c>
      <c r="F78" s="108"/>
      <c r="G78" s="108"/>
      <c r="H78" s="25"/>
      <c r="I78" s="39"/>
      <c r="J78" s="307">
        <f>D70</f>
        <v>0.39920625398575588</v>
      </c>
      <c r="K78" s="298"/>
    </row>
    <row r="79" spans="1:11">
      <c r="A79" s="13"/>
      <c r="B79" s="14"/>
      <c r="C79" s="10" t="s">
        <v>113</v>
      </c>
      <c r="D79" s="67">
        <f>D77*D64</f>
        <v>63861.119999999901</v>
      </c>
      <c r="E79" s="38" t="s">
        <v>145</v>
      </c>
      <c r="F79" s="108"/>
      <c r="G79" s="108"/>
      <c r="H79" s="25"/>
      <c r="I79" s="39"/>
      <c r="J79" s="7"/>
      <c r="K79" s="298"/>
    </row>
    <row r="80" spans="1:11">
      <c r="A80" s="13"/>
      <c r="B80" s="14"/>
      <c r="C80" s="10" t="s">
        <v>115</v>
      </c>
      <c r="D80" s="67">
        <f>D78*D64</f>
        <v>25493.75849053479</v>
      </c>
      <c r="E80" s="38" t="s">
        <v>308</v>
      </c>
      <c r="F80" s="108"/>
      <c r="G80" s="108"/>
      <c r="H80" s="25"/>
      <c r="I80" s="39"/>
      <c r="J80" s="7"/>
      <c r="K80" s="298"/>
    </row>
    <row r="81" spans="1:11">
      <c r="A81" s="479" t="s">
        <v>318</v>
      </c>
      <c r="B81" s="480"/>
      <c r="C81" s="481"/>
      <c r="D81" s="66">
        <v>5.42</v>
      </c>
      <c r="E81" s="38" t="s">
        <v>110</v>
      </c>
      <c r="F81" s="108"/>
      <c r="G81" s="108"/>
      <c r="H81" s="25"/>
      <c r="I81" s="39"/>
      <c r="J81" s="7"/>
      <c r="K81" s="297" t="s">
        <v>294</v>
      </c>
    </row>
    <row r="82" spans="1:11" s="6" customFormat="1" ht="10.199999999999999">
      <c r="A82" s="34"/>
      <c r="B82" s="34"/>
      <c r="C82" s="11" t="s">
        <v>157</v>
      </c>
      <c r="D82" s="67">
        <f>D81*D70</f>
        <v>2.1636978966027969</v>
      </c>
      <c r="E82" s="38" t="s">
        <v>377</v>
      </c>
      <c r="F82" s="38"/>
      <c r="G82" s="38"/>
      <c r="H82" s="25"/>
      <c r="I82" s="39"/>
      <c r="J82" s="7"/>
      <c r="K82" s="299"/>
    </row>
    <row r="83" spans="1:11" s="6" customFormat="1" ht="10.199999999999999">
      <c r="A83" s="34"/>
      <c r="B83" s="34"/>
      <c r="C83" s="11" t="s">
        <v>158</v>
      </c>
      <c r="D83" s="67">
        <f>D82*D65</f>
        <v>67104.926565239148</v>
      </c>
      <c r="E83" s="38" t="s">
        <v>319</v>
      </c>
      <c r="F83" s="38"/>
      <c r="G83" s="38"/>
      <c r="H83" s="25"/>
      <c r="I83" s="39"/>
      <c r="J83" s="7"/>
      <c r="K83" s="299"/>
    </row>
    <row r="84" spans="1:11">
      <c r="A84" s="158"/>
      <c r="B84" s="30"/>
      <c r="C84" s="33" t="s">
        <v>126</v>
      </c>
      <c r="D84" s="50">
        <f>D83+D80</f>
        <v>92598.685055773938</v>
      </c>
      <c r="E84" s="38" t="s">
        <v>114</v>
      </c>
      <c r="F84" s="108"/>
      <c r="G84" s="108"/>
      <c r="H84" s="25"/>
      <c r="I84" s="39"/>
      <c r="J84" s="7"/>
      <c r="K84" s="298"/>
    </row>
    <row r="85" spans="1:11">
      <c r="A85" s="158"/>
      <c r="B85" s="30"/>
      <c r="C85" s="33"/>
      <c r="D85" s="50"/>
      <c r="E85" s="38"/>
      <c r="F85" s="108"/>
      <c r="G85" s="108"/>
      <c r="H85" s="25"/>
      <c r="I85" s="39"/>
      <c r="J85" s="7"/>
      <c r="K85" s="298"/>
    </row>
    <row r="86" spans="1:11">
      <c r="A86" s="13"/>
      <c r="B86" s="290"/>
      <c r="C86" s="291" t="s">
        <v>286</v>
      </c>
      <c r="D86" s="229">
        <v>1.4999999999999999E-2</v>
      </c>
      <c r="E86" s="38" t="s">
        <v>378</v>
      </c>
      <c r="F86" s="108"/>
      <c r="G86" s="108"/>
      <c r="H86" s="25"/>
      <c r="I86" s="39"/>
      <c r="J86" s="7"/>
      <c r="K86" s="314" t="s">
        <v>293</v>
      </c>
    </row>
    <row r="87" spans="1:11">
      <c r="A87" s="13"/>
      <c r="B87" s="14"/>
      <c r="C87" s="291" t="s">
        <v>287</v>
      </c>
      <c r="D87" s="229">
        <v>1.4999999999999999E-2</v>
      </c>
      <c r="E87" s="38" t="s">
        <v>379</v>
      </c>
      <c r="F87" s="108"/>
      <c r="G87" s="108"/>
      <c r="H87" s="25"/>
      <c r="I87" s="39"/>
      <c r="J87" s="7"/>
      <c r="K87" s="314" t="s">
        <v>293</v>
      </c>
    </row>
    <row r="88" spans="1:11">
      <c r="A88" s="13"/>
      <c r="B88" s="14"/>
      <c r="C88" s="291" t="s">
        <v>290</v>
      </c>
      <c r="D88" s="67">
        <f>(D84*D86)+(D84*D87)</f>
        <v>2777.9605516732181</v>
      </c>
      <c r="E88" s="38" t="s">
        <v>304</v>
      </c>
      <c r="F88" s="108"/>
      <c r="G88" s="108"/>
      <c r="H88" s="25"/>
      <c r="I88" s="39"/>
      <c r="J88" s="7"/>
      <c r="K88" s="12"/>
    </row>
    <row r="89" spans="1:11">
      <c r="A89" s="158"/>
      <c r="B89" s="30"/>
      <c r="C89" s="33" t="s">
        <v>127</v>
      </c>
      <c r="D89" s="50">
        <f>D84-D88</f>
        <v>89820.724504100726</v>
      </c>
      <c r="E89" s="38" t="s">
        <v>128</v>
      </c>
      <c r="F89" s="108"/>
      <c r="G89" s="108"/>
      <c r="H89" s="25"/>
      <c r="I89" s="39"/>
      <c r="J89" s="7"/>
      <c r="K89" s="12"/>
    </row>
    <row r="90" spans="1:11">
      <c r="A90" s="158"/>
      <c r="B90" s="30"/>
      <c r="C90" s="33"/>
      <c r="D90" s="50"/>
      <c r="E90" s="38"/>
      <c r="F90" s="108"/>
      <c r="G90" s="108"/>
      <c r="H90" s="25"/>
      <c r="I90" s="39"/>
      <c r="J90" s="7"/>
      <c r="K90" s="12"/>
    </row>
    <row r="91" spans="1:11">
      <c r="A91" s="158"/>
      <c r="B91" s="30"/>
      <c r="C91" s="33" t="s">
        <v>298</v>
      </c>
      <c r="D91" s="50"/>
      <c r="E91" s="38" t="s">
        <v>327</v>
      </c>
      <c r="F91" s="108"/>
      <c r="G91" s="108"/>
      <c r="H91" s="25"/>
      <c r="I91" s="39"/>
      <c r="J91" s="7" t="s">
        <v>299</v>
      </c>
      <c r="K91" s="12"/>
    </row>
    <row r="92" spans="1:11">
      <c r="A92" s="13"/>
      <c r="B92" s="14"/>
      <c r="C92" s="10" t="s">
        <v>160</v>
      </c>
      <c r="D92" s="68">
        <f>D68*0.25</f>
        <v>1550660.67</v>
      </c>
      <c r="E92" s="111" t="s">
        <v>295</v>
      </c>
      <c r="F92" s="294"/>
      <c r="G92" s="294"/>
      <c r="H92" s="25"/>
      <c r="I92" s="295"/>
      <c r="J92" s="232">
        <f>D70</f>
        <v>0.39920625398575588</v>
      </c>
      <c r="K92" s="297" t="s">
        <v>305</v>
      </c>
    </row>
    <row r="93" spans="1:11">
      <c r="A93" s="13"/>
      <c r="B93" s="226"/>
      <c r="C93" s="17" t="s">
        <v>268</v>
      </c>
      <c r="D93" s="69">
        <f>200000*J93</f>
        <v>79841.25079715118</v>
      </c>
      <c r="E93" s="227" t="s">
        <v>76</v>
      </c>
      <c r="F93" s="228"/>
      <c r="G93" s="228"/>
      <c r="H93" s="228"/>
      <c r="I93" s="228"/>
      <c r="J93" s="308">
        <f>J92</f>
        <v>0.39920625398575588</v>
      </c>
      <c r="K93" s="300" t="s">
        <v>296</v>
      </c>
    </row>
    <row r="94" spans="1:11">
      <c r="A94" s="13"/>
      <c r="B94" s="226"/>
      <c r="C94" s="17" t="s">
        <v>270</v>
      </c>
      <c r="D94" s="69">
        <f>128000*J94</f>
        <v>51098.400510176754</v>
      </c>
      <c r="E94" s="227" t="s">
        <v>271</v>
      </c>
      <c r="F94" s="228"/>
      <c r="G94" s="228"/>
      <c r="H94" s="228"/>
      <c r="I94" s="228"/>
      <c r="J94" s="308">
        <f>J92</f>
        <v>0.39920625398575588</v>
      </c>
      <c r="K94" s="300" t="s">
        <v>297</v>
      </c>
    </row>
    <row r="95" spans="1:11">
      <c r="A95" s="13"/>
      <c r="B95" s="14"/>
      <c r="C95" s="34" t="s">
        <v>269</v>
      </c>
      <c r="D95" s="69">
        <f>1000*J95</f>
        <v>399.20625398575589</v>
      </c>
      <c r="E95" s="111" t="s">
        <v>277</v>
      </c>
      <c r="F95" s="107"/>
      <c r="G95" s="107"/>
      <c r="H95" s="107"/>
      <c r="I95" s="107"/>
      <c r="J95" s="309">
        <f>J92</f>
        <v>0.39920625398575588</v>
      </c>
      <c r="K95" s="297" t="s">
        <v>296</v>
      </c>
    </row>
    <row r="96" spans="1:11">
      <c r="A96" s="13"/>
      <c r="B96" s="14"/>
      <c r="C96" s="10"/>
      <c r="D96" s="23"/>
      <c r="E96" s="43"/>
      <c r="F96" s="32"/>
      <c r="G96" s="32"/>
      <c r="H96" s="32"/>
      <c r="I96" s="32"/>
      <c r="J96" s="32"/>
      <c r="K96" s="32"/>
    </row>
    <row r="97" spans="1:11" s="2" customFormat="1">
      <c r="A97" s="36" t="s">
        <v>351</v>
      </c>
      <c r="B97" s="30"/>
      <c r="C97" s="33"/>
      <c r="D97" s="35"/>
      <c r="E97" s="115" t="s">
        <v>92</v>
      </c>
      <c r="F97" s="257" t="s">
        <v>256</v>
      </c>
      <c r="G97" s="257"/>
      <c r="H97" s="258"/>
      <c r="I97" s="101"/>
      <c r="J97" s="284" t="s">
        <v>95</v>
      </c>
      <c r="K97" s="101"/>
    </row>
    <row r="98" spans="1:11">
      <c r="A98" s="196" t="s">
        <v>205</v>
      </c>
      <c r="B98" s="197"/>
      <c r="C98" s="204" t="s">
        <v>135</v>
      </c>
      <c r="D98" s="205">
        <v>1531971.42</v>
      </c>
      <c r="E98" s="195">
        <f>D98/D114</f>
        <v>0.24698688914319336</v>
      </c>
      <c r="F98" s="105" t="s">
        <v>177</v>
      </c>
      <c r="G98" s="105"/>
      <c r="H98" s="107"/>
      <c r="I98" s="107"/>
      <c r="J98" s="107"/>
      <c r="K98" s="301" t="s">
        <v>297</v>
      </c>
    </row>
    <row r="99" spans="1:11">
      <c r="A99" s="198"/>
      <c r="B99" s="199"/>
      <c r="C99" s="159" t="s">
        <v>136</v>
      </c>
      <c r="D99" s="206">
        <v>0</v>
      </c>
      <c r="E99" s="195">
        <f>D99/D114</f>
        <v>0</v>
      </c>
      <c r="F99" s="105" t="s">
        <v>252</v>
      </c>
      <c r="G99" s="105"/>
      <c r="H99" s="107"/>
      <c r="I99" s="107"/>
      <c r="J99" s="107"/>
      <c r="K99" s="301" t="s">
        <v>297</v>
      </c>
    </row>
    <row r="100" spans="1:11">
      <c r="A100" s="198"/>
      <c r="B100" s="199"/>
      <c r="C100" s="159" t="s">
        <v>137</v>
      </c>
      <c r="D100" s="206">
        <v>1116266.1000000001</v>
      </c>
      <c r="E100" s="195">
        <f>D100/D114</f>
        <v>0.17996621078936631</v>
      </c>
      <c r="F100" s="105"/>
      <c r="G100" s="105"/>
      <c r="H100" s="107"/>
      <c r="I100" s="107"/>
      <c r="J100" s="107"/>
      <c r="K100" s="301" t="s">
        <v>297</v>
      </c>
    </row>
    <row r="101" spans="1:11">
      <c r="A101" s="198"/>
      <c r="B101" s="199"/>
      <c r="C101" s="159" t="s">
        <v>139</v>
      </c>
      <c r="D101" s="206">
        <v>0</v>
      </c>
      <c r="E101" s="195">
        <f>D101/D114</f>
        <v>0</v>
      </c>
      <c r="F101" s="105" t="s">
        <v>252</v>
      </c>
      <c r="G101" s="105"/>
      <c r="H101" s="107"/>
      <c r="I101" s="107"/>
      <c r="J101" s="107"/>
      <c r="K101" s="301" t="s">
        <v>297</v>
      </c>
    </row>
    <row r="102" spans="1:11">
      <c r="A102" s="198"/>
      <c r="B102" s="199"/>
      <c r="C102" s="159" t="s">
        <v>138</v>
      </c>
      <c r="D102" s="206">
        <v>208044.1</v>
      </c>
      <c r="E102" s="195">
        <f>D102/D114</f>
        <v>3.3541203440724393E-2</v>
      </c>
      <c r="F102" s="105" t="s">
        <v>252</v>
      </c>
      <c r="G102" s="105"/>
      <c r="H102" s="107"/>
      <c r="I102" s="107"/>
      <c r="J102" s="107"/>
      <c r="K102" s="301" t="s">
        <v>297</v>
      </c>
    </row>
    <row r="103" spans="1:11">
      <c r="A103" s="198"/>
      <c r="B103" s="199"/>
      <c r="C103" s="159" t="s">
        <v>140</v>
      </c>
      <c r="D103" s="206">
        <v>351580.42</v>
      </c>
      <c r="E103" s="195">
        <f>D103/D114</f>
        <v>5.6682359139217729E-2</v>
      </c>
      <c r="F103" s="105" t="s">
        <v>252</v>
      </c>
      <c r="G103" s="105"/>
      <c r="H103" s="107"/>
      <c r="I103" s="107"/>
      <c r="J103" s="107"/>
      <c r="K103" s="301" t="s">
        <v>297</v>
      </c>
    </row>
    <row r="104" spans="1:11">
      <c r="A104" s="198"/>
      <c r="B104" s="199"/>
      <c r="C104" s="159" t="s">
        <v>141</v>
      </c>
      <c r="D104" s="206">
        <v>0</v>
      </c>
      <c r="E104" s="195">
        <f>D104/D114</f>
        <v>0</v>
      </c>
      <c r="F104" s="105" t="s">
        <v>252</v>
      </c>
      <c r="G104" s="105"/>
      <c r="H104" s="107"/>
      <c r="I104" s="107"/>
      <c r="J104" s="107"/>
      <c r="K104" s="301" t="s">
        <v>297</v>
      </c>
    </row>
    <row r="105" spans="1:11">
      <c r="A105" s="198"/>
      <c r="B105" s="199"/>
      <c r="C105" s="159" t="s">
        <v>142</v>
      </c>
      <c r="D105" s="206">
        <v>0</v>
      </c>
      <c r="E105" s="195">
        <f>D105/D114</f>
        <v>0</v>
      </c>
      <c r="F105" s="105" t="s">
        <v>154</v>
      </c>
      <c r="G105" s="105"/>
      <c r="H105" s="107"/>
      <c r="I105" s="107"/>
      <c r="J105" s="107"/>
      <c r="K105" s="301" t="s">
        <v>297</v>
      </c>
    </row>
    <row r="106" spans="1:11">
      <c r="A106" s="200"/>
      <c r="B106" s="201"/>
      <c r="C106" s="207" t="s">
        <v>143</v>
      </c>
      <c r="D106" s="208">
        <v>0</v>
      </c>
      <c r="E106" s="195">
        <f>D106/D114</f>
        <v>0</v>
      </c>
      <c r="F106" s="105" t="s">
        <v>176</v>
      </c>
      <c r="G106" s="105"/>
      <c r="H106" s="107"/>
      <c r="I106" s="107"/>
      <c r="J106" s="107"/>
      <c r="K106" s="301" t="s">
        <v>297</v>
      </c>
    </row>
    <row r="107" spans="1:11">
      <c r="A107" s="13"/>
      <c r="B107" s="14"/>
      <c r="C107" s="10" t="s">
        <v>93</v>
      </c>
      <c r="D107" s="35">
        <f>SUM(D98:D106)</f>
        <v>3207862.04</v>
      </c>
      <c r="E107" s="308">
        <f>SUM(E98:E106)</f>
        <v>0.51717666251250183</v>
      </c>
      <c r="F107" s="105"/>
      <c r="G107" s="105"/>
      <c r="H107" s="107"/>
      <c r="I107" s="107"/>
      <c r="J107" s="107"/>
      <c r="K107" s="18"/>
    </row>
    <row r="108" spans="1:11">
      <c r="A108" s="202" t="s">
        <v>309</v>
      </c>
      <c r="B108" s="203"/>
      <c r="C108" s="397" t="s">
        <v>36</v>
      </c>
      <c r="D108" s="210">
        <v>178342.72</v>
      </c>
      <c r="E108" s="195">
        <f>D108/D114</f>
        <v>2.8752699325249539E-2</v>
      </c>
      <c r="F108" s="105" t="s">
        <v>409</v>
      </c>
      <c r="G108" s="105"/>
      <c r="H108" s="107"/>
      <c r="I108" s="107"/>
      <c r="J108" s="107"/>
      <c r="K108" s="301" t="s">
        <v>294</v>
      </c>
    </row>
    <row r="109" spans="1:11">
      <c r="A109" s="36" t="s">
        <v>207</v>
      </c>
      <c r="B109" s="14"/>
      <c r="C109" s="10"/>
      <c r="D109" s="23"/>
      <c r="E109" s="195" t="s">
        <v>91</v>
      </c>
      <c r="F109" s="106" t="s">
        <v>144</v>
      </c>
      <c r="G109" s="106" t="s">
        <v>94</v>
      </c>
      <c r="H109" s="302" t="s">
        <v>328</v>
      </c>
      <c r="I109" s="18"/>
      <c r="J109" s="18"/>
      <c r="K109" s="18"/>
    </row>
    <row r="110" spans="1:11">
      <c r="A110" s="196" t="s">
        <v>91</v>
      </c>
      <c r="B110" s="197"/>
      <c r="C110" s="204" t="s">
        <v>120</v>
      </c>
      <c r="D110" s="205">
        <v>2516641.21</v>
      </c>
      <c r="E110" s="195">
        <f>D110/D114</f>
        <v>0.40573693179436859</v>
      </c>
      <c r="F110" s="103">
        <v>3.1E-2</v>
      </c>
      <c r="G110" s="100">
        <v>20</v>
      </c>
      <c r="H110" s="178" t="s">
        <v>217</v>
      </c>
      <c r="I110" s="178"/>
      <c r="J110" s="178"/>
      <c r="K110" s="301" t="s">
        <v>300</v>
      </c>
    </row>
    <row r="111" spans="1:11">
      <c r="A111" s="198"/>
      <c r="B111" s="199"/>
      <c r="C111" s="159" t="s">
        <v>129</v>
      </c>
      <c r="D111" s="206">
        <v>176351.01</v>
      </c>
      <c r="E111" s="195">
        <f>D111/D114</f>
        <v>2.8431592644959518E-2</v>
      </c>
      <c r="F111" s="103">
        <v>0.02</v>
      </c>
      <c r="G111" s="100">
        <v>15</v>
      </c>
      <c r="H111" s="178" t="s">
        <v>218</v>
      </c>
      <c r="I111" s="18"/>
      <c r="J111" s="18"/>
      <c r="K111" s="301" t="s">
        <v>300</v>
      </c>
    </row>
    <row r="112" spans="1:11">
      <c r="A112" s="198"/>
      <c r="B112" s="199"/>
      <c r="C112" s="159" t="s">
        <v>130</v>
      </c>
      <c r="D112" s="206">
        <v>123445.7</v>
      </c>
      <c r="E112" s="195">
        <f>D112/D114</f>
        <v>1.9902113722920434E-2</v>
      </c>
      <c r="F112" s="103">
        <v>0.04</v>
      </c>
      <c r="G112" s="100">
        <v>15</v>
      </c>
      <c r="H112" s="178" t="s">
        <v>219</v>
      </c>
      <c r="I112" s="18"/>
      <c r="J112" s="18"/>
      <c r="K112" s="301" t="s">
        <v>300</v>
      </c>
    </row>
    <row r="113" spans="1:11">
      <c r="A113" s="198"/>
      <c r="B113" s="199"/>
      <c r="C113" s="159" t="s">
        <v>131</v>
      </c>
      <c r="D113" s="206">
        <v>0</v>
      </c>
      <c r="E113" s="195">
        <f>D113/D114</f>
        <v>0</v>
      </c>
      <c r="F113" s="103">
        <v>0.04</v>
      </c>
      <c r="G113" s="100">
        <v>15</v>
      </c>
      <c r="H113" s="178" t="s">
        <v>217</v>
      </c>
      <c r="I113" s="18"/>
      <c r="J113" s="18"/>
      <c r="K113" s="301" t="s">
        <v>300</v>
      </c>
    </row>
    <row r="114" spans="1:11">
      <c r="A114" s="202" t="s">
        <v>93</v>
      </c>
      <c r="B114" s="203"/>
      <c r="C114" s="209" t="s">
        <v>206</v>
      </c>
      <c r="D114" s="212">
        <f>SUM(D107:D113)</f>
        <v>6202642.6800000006</v>
      </c>
      <c r="E114" s="211">
        <f>SUM(E98:E113)-E107</f>
        <v>1</v>
      </c>
      <c r="F114" s="107"/>
      <c r="G114" s="18"/>
      <c r="H114" s="18"/>
      <c r="I114" s="18"/>
      <c r="J114" s="18"/>
      <c r="K114" s="18"/>
    </row>
    <row r="115" spans="1:11">
      <c r="A115" s="13"/>
      <c r="B115" s="14"/>
      <c r="C115" s="10" t="s">
        <v>149</v>
      </c>
      <c r="D115" s="35">
        <f>SUM(D110:D113)</f>
        <v>2816437.92</v>
      </c>
      <c r="E115" s="195">
        <f>D115/D114</f>
        <v>0.45407063816224857</v>
      </c>
      <c r="F115" s="105" t="s">
        <v>175</v>
      </c>
      <c r="G115" s="105"/>
      <c r="H115" s="18"/>
      <c r="I115" s="18"/>
      <c r="J115" s="18"/>
      <c r="K115" s="18"/>
    </row>
    <row r="116" spans="1:11" ht="13.8" thickBot="1">
      <c r="A116" s="475" t="s">
        <v>408</v>
      </c>
      <c r="B116" s="476"/>
      <c r="C116" s="10"/>
      <c r="D116" s="35"/>
      <c r="E116" s="195"/>
      <c r="F116" s="105"/>
      <c r="G116" s="105"/>
      <c r="H116" s="18"/>
      <c r="I116" s="18"/>
      <c r="J116" s="18"/>
      <c r="K116" s="18"/>
    </row>
    <row r="117" spans="1:11">
      <c r="A117" s="13"/>
      <c r="B117" s="14"/>
      <c r="C117" s="10" t="s">
        <v>410</v>
      </c>
      <c r="D117" s="427">
        <f>D115</f>
        <v>2816437.92</v>
      </c>
      <c r="E117" s="428">
        <f>D117/D114</f>
        <v>0.45407063816224857</v>
      </c>
      <c r="F117" s="105" t="s">
        <v>37</v>
      </c>
      <c r="G117" s="105"/>
      <c r="H117" s="18"/>
      <c r="I117" s="18"/>
      <c r="J117" s="18"/>
      <c r="K117" s="18"/>
    </row>
    <row r="118" spans="1:11">
      <c r="A118" s="13"/>
      <c r="B118" s="14"/>
      <c r="C118" s="10" t="s">
        <v>411</v>
      </c>
      <c r="D118" s="429">
        <f>D108</f>
        <v>178342.72</v>
      </c>
      <c r="E118" s="430">
        <f>D118/D114</f>
        <v>2.8752699325249539E-2</v>
      </c>
      <c r="F118" s="105" t="s">
        <v>38</v>
      </c>
      <c r="G118" s="105"/>
      <c r="H118" s="18"/>
      <c r="I118" s="18"/>
      <c r="J118" s="18"/>
      <c r="K118" s="18"/>
    </row>
    <row r="119" spans="1:11">
      <c r="A119" s="13"/>
      <c r="B119" s="14"/>
      <c r="C119" s="10" t="s">
        <v>413</v>
      </c>
      <c r="D119" s="429">
        <f>D107</f>
        <v>3207862.04</v>
      </c>
      <c r="E119" s="430">
        <f>D119/D114</f>
        <v>0.51717666251250183</v>
      </c>
      <c r="F119" s="105" t="s">
        <v>39</v>
      </c>
      <c r="G119" s="105"/>
      <c r="H119" s="18"/>
      <c r="I119" s="18"/>
      <c r="J119" s="18"/>
      <c r="K119" s="18"/>
    </row>
    <row r="120" spans="1:11" ht="13.8" thickBot="1">
      <c r="A120" s="13"/>
      <c r="B120" s="14"/>
      <c r="C120" s="10" t="s">
        <v>414</v>
      </c>
      <c r="D120" s="431">
        <f>D100</f>
        <v>1116266.1000000001</v>
      </c>
      <c r="E120" s="432">
        <f>D120/D114</f>
        <v>0.17996621078936631</v>
      </c>
      <c r="F120" s="105" t="s">
        <v>40</v>
      </c>
      <c r="G120" s="105"/>
      <c r="H120" s="18"/>
      <c r="I120" s="18"/>
      <c r="J120" s="18"/>
      <c r="K120" s="18"/>
    </row>
    <row r="121" spans="1:11">
      <c r="A121" s="13"/>
      <c r="B121" s="14"/>
      <c r="C121" s="10"/>
      <c r="D121" s="35"/>
      <c r="E121" s="195"/>
      <c r="F121" s="105"/>
      <c r="G121" s="105"/>
      <c r="H121" s="18"/>
      <c r="I121" s="18"/>
      <c r="J121" s="18"/>
      <c r="K121" s="18"/>
    </row>
    <row r="122" spans="1:11">
      <c r="A122" s="36" t="s">
        <v>41</v>
      </c>
      <c r="B122" s="14"/>
      <c r="C122" s="10"/>
      <c r="D122" s="35"/>
      <c r="E122" s="462" t="s">
        <v>310</v>
      </c>
      <c r="F122" s="463"/>
      <c r="G122" s="463"/>
      <c r="H122" s="463"/>
      <c r="I122" s="463"/>
      <c r="J122" s="463"/>
      <c r="K122" s="18"/>
    </row>
    <row r="123" spans="1:11">
      <c r="A123" s="36"/>
      <c r="B123" s="14"/>
      <c r="C123" s="10" t="s">
        <v>43</v>
      </c>
      <c r="D123" s="69">
        <v>0</v>
      </c>
      <c r="E123" s="372" t="s">
        <v>55</v>
      </c>
      <c r="F123" s="18"/>
      <c r="G123" s="18"/>
      <c r="H123" s="18"/>
      <c r="I123" s="18"/>
      <c r="J123" s="18"/>
      <c r="K123" s="18"/>
    </row>
    <row r="124" spans="1:11">
      <c r="A124" s="36"/>
      <c r="B124" s="14"/>
      <c r="C124" s="10" t="s">
        <v>44</v>
      </c>
      <c r="D124" s="69">
        <f>D115*D136</f>
        <v>56328.758399999999</v>
      </c>
      <c r="E124" s="372" t="s">
        <v>42</v>
      </c>
      <c r="F124" s="18"/>
      <c r="G124" s="18"/>
      <c r="H124" s="18"/>
      <c r="I124" s="18"/>
      <c r="J124" s="18"/>
      <c r="K124" s="18"/>
    </row>
    <row r="125" spans="1:11">
      <c r="A125" s="13"/>
      <c r="B125" s="14"/>
      <c r="C125" s="10" t="s">
        <v>45</v>
      </c>
      <c r="D125" s="69">
        <f>D136*D115</f>
        <v>56328.758399999999</v>
      </c>
      <c r="E125" s="111" t="s">
        <v>387</v>
      </c>
      <c r="F125" s="107"/>
      <c r="G125" s="107"/>
      <c r="H125" s="107"/>
      <c r="I125" s="107"/>
      <c r="J125" s="18"/>
      <c r="K125" s="301" t="s">
        <v>320</v>
      </c>
    </row>
    <row r="126" spans="1:11">
      <c r="A126" s="13"/>
      <c r="B126" s="14"/>
      <c r="C126" s="10"/>
      <c r="D126" s="398"/>
      <c r="E126" s="399" t="s">
        <v>415</v>
      </c>
      <c r="F126" s="400"/>
      <c r="G126" s="400"/>
      <c r="H126" s="400"/>
      <c r="I126" s="400"/>
      <c r="J126" s="18"/>
      <c r="K126" s="301"/>
    </row>
    <row r="127" spans="1:11">
      <c r="A127" s="13"/>
      <c r="B127" s="14"/>
      <c r="C127" s="10" t="s">
        <v>91</v>
      </c>
      <c r="D127" s="23" t="s">
        <v>91</v>
      </c>
      <c r="E127" s="43" t="s">
        <v>91</v>
      </c>
      <c r="F127" s="32"/>
      <c r="G127" s="32"/>
      <c r="H127" s="32"/>
      <c r="I127" s="32"/>
      <c r="J127" s="32"/>
      <c r="K127" s="32"/>
    </row>
    <row r="128" spans="1:11">
      <c r="A128" s="464" t="s">
        <v>69</v>
      </c>
      <c r="B128" s="465"/>
      <c r="C128" s="344" t="s">
        <v>262</v>
      </c>
      <c r="D128" s="339">
        <v>2010</v>
      </c>
      <c r="E128" s="404" t="s">
        <v>416</v>
      </c>
      <c r="F128" s="405"/>
      <c r="G128" s="405"/>
      <c r="H128" s="406"/>
      <c r="I128" s="401"/>
      <c r="J128" s="402"/>
      <c r="K128" s="403"/>
    </row>
    <row r="129" spans="1:12">
      <c r="A129" s="13"/>
      <c r="B129" s="14"/>
      <c r="C129" s="10" t="s">
        <v>146</v>
      </c>
      <c r="D129" s="70">
        <v>3.5900000000000001E-2</v>
      </c>
      <c r="E129" s="489" t="s">
        <v>417</v>
      </c>
      <c r="F129" s="463"/>
      <c r="G129" s="463"/>
      <c r="H129" s="463"/>
      <c r="I129" s="463"/>
      <c r="J129" s="284" t="s">
        <v>95</v>
      </c>
      <c r="K129" s="303" t="s">
        <v>91</v>
      </c>
    </row>
    <row r="130" spans="1:12">
      <c r="A130" s="13"/>
      <c r="B130" s="14"/>
      <c r="C130" s="10" t="s">
        <v>396</v>
      </c>
      <c r="D130" s="375">
        <f>D68-D108</f>
        <v>6024299.96</v>
      </c>
      <c r="E130" s="259" t="s">
        <v>397</v>
      </c>
      <c r="F130" s="107"/>
      <c r="G130" s="107"/>
      <c r="H130" s="18"/>
      <c r="I130" s="18"/>
      <c r="J130" s="284"/>
      <c r="K130" s="303"/>
    </row>
    <row r="131" spans="1:12">
      <c r="A131" s="13"/>
      <c r="B131" s="14"/>
      <c r="C131" s="10" t="s">
        <v>253</v>
      </c>
      <c r="D131" s="40">
        <v>2.75E-2</v>
      </c>
      <c r="E131" s="259" t="s">
        <v>254</v>
      </c>
      <c r="F131" s="18"/>
      <c r="G131" s="18"/>
      <c r="H131" s="18"/>
      <c r="I131" s="18"/>
      <c r="J131" s="9"/>
      <c r="K131" s="314" t="s">
        <v>293</v>
      </c>
    </row>
    <row r="132" spans="1:12">
      <c r="A132" s="13"/>
      <c r="B132" s="14"/>
      <c r="C132" s="10" t="s">
        <v>255</v>
      </c>
      <c r="D132" s="70">
        <v>7.0000000000000007E-2</v>
      </c>
      <c r="E132" s="259" t="s">
        <v>73</v>
      </c>
      <c r="F132" s="18"/>
      <c r="G132" s="18"/>
      <c r="H132" s="18"/>
      <c r="I132" s="18"/>
      <c r="J132" s="9"/>
      <c r="K132" s="8"/>
    </row>
    <row r="133" spans="1:12">
      <c r="A133" s="13"/>
      <c r="B133" s="14"/>
      <c r="C133" s="10" t="s">
        <v>147</v>
      </c>
      <c r="D133" s="40">
        <v>1.7000000000000001E-2</v>
      </c>
      <c r="E133" s="109" t="s">
        <v>301</v>
      </c>
      <c r="F133" s="110"/>
      <c r="G133" s="54"/>
      <c r="H133" s="55"/>
      <c r="I133" s="56"/>
      <c r="J133" s="57"/>
      <c r="K133" s="315" t="s">
        <v>293</v>
      </c>
    </row>
    <row r="134" spans="1:12">
      <c r="A134" s="13"/>
      <c r="B134" s="14"/>
      <c r="C134" s="10" t="s">
        <v>257</v>
      </c>
      <c r="D134" s="40">
        <v>1.4999999999999999E-2</v>
      </c>
      <c r="E134" s="109" t="s">
        <v>301</v>
      </c>
      <c r="F134" s="110"/>
      <c r="G134" s="54"/>
      <c r="H134" s="55"/>
      <c r="I134" s="56"/>
      <c r="J134" s="57"/>
      <c r="K134" s="315" t="s">
        <v>293</v>
      </c>
      <c r="L134" s="234"/>
    </row>
    <row r="135" spans="1:12">
      <c r="A135" s="13"/>
      <c r="B135" s="14"/>
      <c r="C135" s="10" t="s">
        <v>258</v>
      </c>
      <c r="D135" s="40">
        <v>1.4999999999999999E-2</v>
      </c>
      <c r="E135" s="109" t="s">
        <v>301</v>
      </c>
      <c r="F135" s="110"/>
      <c r="G135" s="54"/>
      <c r="H135" s="55"/>
      <c r="I135" s="56"/>
      <c r="J135" s="57"/>
      <c r="K135" s="315" t="s">
        <v>293</v>
      </c>
      <c r="L135" s="234"/>
    </row>
    <row r="136" spans="1:12">
      <c r="A136" s="13"/>
      <c r="B136" s="14"/>
      <c r="C136" s="10" t="s">
        <v>134</v>
      </c>
      <c r="D136" s="40">
        <v>0.02</v>
      </c>
      <c r="E136" s="109" t="s">
        <v>306</v>
      </c>
      <c r="F136" s="110"/>
      <c r="G136" s="54"/>
      <c r="H136" s="55"/>
      <c r="I136" s="56"/>
      <c r="J136" s="57"/>
      <c r="K136" s="315" t="s">
        <v>293</v>
      </c>
      <c r="L136" s="234"/>
    </row>
    <row r="137" spans="1:12">
      <c r="A137" s="13"/>
      <c r="B137" s="14"/>
      <c r="C137" s="10"/>
      <c r="D137" s="40"/>
      <c r="E137" s="165"/>
      <c r="F137" s="166"/>
      <c r="G137" s="72"/>
      <c r="H137" s="167"/>
      <c r="I137" s="73"/>
      <c r="J137" s="168"/>
      <c r="K137" s="161"/>
    </row>
    <row r="138" spans="1:12" s="6" customFormat="1" ht="10.8" thickBot="1">
      <c r="A138" s="264" t="s">
        <v>259</v>
      </c>
      <c r="B138" s="265"/>
      <c r="C138" s="266"/>
      <c r="D138" s="267"/>
      <c r="E138" s="268"/>
      <c r="F138" s="283" t="s">
        <v>95</v>
      </c>
      <c r="G138" s="269"/>
      <c r="H138" s="270"/>
      <c r="I138" s="271"/>
      <c r="J138" s="75"/>
      <c r="K138" s="269"/>
    </row>
    <row r="139" spans="1:12">
      <c r="A139" s="213" t="s">
        <v>211</v>
      </c>
      <c r="B139" s="77"/>
      <c r="C139" s="17"/>
      <c r="D139" s="40"/>
      <c r="E139" s="71"/>
      <c r="F139" s="72"/>
      <c r="G139" s="72"/>
      <c r="H139" s="78"/>
      <c r="I139" s="73"/>
      <c r="J139" s="79"/>
      <c r="K139" s="72"/>
    </row>
    <row r="140" spans="1:12">
      <c r="A140" s="213" t="s">
        <v>210</v>
      </c>
      <c r="B140" s="77"/>
      <c r="C140" s="17"/>
      <c r="D140" s="40"/>
      <c r="E140" s="71"/>
      <c r="F140" s="72"/>
      <c r="G140" s="72"/>
      <c r="H140" s="78"/>
      <c r="I140" s="73"/>
      <c r="J140" s="79"/>
      <c r="K140" s="72"/>
    </row>
    <row r="141" spans="1:12">
      <c r="A141" s="76"/>
      <c r="B141" s="77"/>
      <c r="C141" s="115" t="s">
        <v>152</v>
      </c>
      <c r="D141" s="116" t="s">
        <v>151</v>
      </c>
      <c r="E141" s="71"/>
      <c r="F141" s="72"/>
      <c r="G141" s="72"/>
      <c r="H141" s="78"/>
      <c r="I141" s="73"/>
      <c r="J141" s="79"/>
      <c r="K141" s="72"/>
    </row>
    <row r="142" spans="1:12" ht="13.8" thickBot="1">
      <c r="A142" s="36" t="s">
        <v>91</v>
      </c>
      <c r="B142" s="74"/>
      <c r="C142" s="15"/>
      <c r="D142" s="40"/>
      <c r="E142" s="117" t="s">
        <v>180</v>
      </c>
      <c r="F142" s="118"/>
      <c r="G142" s="118"/>
      <c r="H142" s="87"/>
      <c r="I142" s="88"/>
      <c r="J142" s="89"/>
      <c r="K142" s="90"/>
    </row>
    <row r="143" spans="1:12">
      <c r="A143" s="114" t="s">
        <v>117</v>
      </c>
      <c r="B143" s="14"/>
      <c r="C143" s="121" t="s">
        <v>91</v>
      </c>
      <c r="D143" s="122">
        <f>D68</f>
        <v>6202642.6799999997</v>
      </c>
      <c r="E143" s="95" t="s">
        <v>394</v>
      </c>
      <c r="F143" s="91"/>
      <c r="G143" s="91"/>
      <c r="H143" s="81"/>
      <c r="I143" s="96"/>
      <c r="J143" s="92"/>
      <c r="K143" s="93"/>
    </row>
    <row r="144" spans="1:12" ht="13.8">
      <c r="A144" s="487" t="s">
        <v>150</v>
      </c>
      <c r="B144" s="488"/>
      <c r="C144" s="123" t="s">
        <v>91</v>
      </c>
      <c r="D144" s="124">
        <f ca="1">'Calculs détaillés'!W34</f>
        <v>2222069.6210778127</v>
      </c>
      <c r="E144" s="95" t="s">
        <v>418</v>
      </c>
      <c r="F144" s="91"/>
      <c r="G144" s="91"/>
      <c r="H144" s="81"/>
      <c r="I144" s="96"/>
      <c r="J144" s="371"/>
      <c r="K144" s="389" t="s">
        <v>91</v>
      </c>
      <c r="L144" t="s">
        <v>91</v>
      </c>
    </row>
    <row r="145" spans="1:12">
      <c r="A145" s="487" t="s">
        <v>404</v>
      </c>
      <c r="B145" s="463"/>
      <c r="C145" s="123" t="s">
        <v>91</v>
      </c>
      <c r="D145" s="124">
        <f>D130*D136</f>
        <v>120485.99920000001</v>
      </c>
      <c r="E145" s="95" t="s">
        <v>395</v>
      </c>
      <c r="F145" s="91"/>
      <c r="G145" s="91"/>
      <c r="H145" s="81"/>
      <c r="I145" s="96"/>
      <c r="J145" s="92"/>
      <c r="K145" s="93"/>
    </row>
    <row r="146" spans="1:12">
      <c r="A146" s="41" t="s">
        <v>170</v>
      </c>
      <c r="B146" s="42"/>
      <c r="C146" s="149" t="s">
        <v>91</v>
      </c>
      <c r="D146" s="125">
        <f>SUM(D143:D145)</f>
        <v>8545198.3002778124</v>
      </c>
      <c r="E146" s="95" t="s">
        <v>419</v>
      </c>
      <c r="F146" s="91"/>
      <c r="G146" s="91"/>
      <c r="H146" s="81"/>
      <c r="I146" s="96"/>
      <c r="J146" s="92"/>
      <c r="K146" s="93"/>
    </row>
    <row r="147" spans="1:12">
      <c r="A147" s="139" t="s">
        <v>91</v>
      </c>
      <c r="B147" s="151"/>
      <c r="C147" s="140"/>
      <c r="D147" s="152"/>
      <c r="E147" s="117" t="s">
        <v>171</v>
      </c>
      <c r="F147" s="118"/>
      <c r="G147" s="118"/>
      <c r="H147" s="87"/>
      <c r="I147" s="97"/>
      <c r="J147" s="98"/>
      <c r="K147" s="99"/>
    </row>
    <row r="148" spans="1:12">
      <c r="A148" s="114" t="s">
        <v>153</v>
      </c>
      <c r="B148" s="14"/>
      <c r="C148" s="127">
        <f ca="1">'Calculs détaillés'!C34</f>
        <v>501352.18270471646</v>
      </c>
      <c r="D148" s="194" t="s">
        <v>91</v>
      </c>
      <c r="E148" s="95" t="s">
        <v>228</v>
      </c>
      <c r="F148" s="91"/>
      <c r="G148" s="91"/>
      <c r="H148" s="81"/>
      <c r="I148" s="96"/>
      <c r="J148" s="92"/>
      <c r="K148" s="93"/>
      <c r="L148" t="s">
        <v>91</v>
      </c>
    </row>
    <row r="149" spans="1:12">
      <c r="A149" s="114" t="s">
        <v>118</v>
      </c>
      <c r="B149" s="14"/>
      <c r="C149" s="127">
        <f ca="1">'Calculs détaillés'!D34</f>
        <v>881920.12573798478</v>
      </c>
      <c r="D149" s="194" t="s">
        <v>91</v>
      </c>
      <c r="E149" s="95" t="s">
        <v>204</v>
      </c>
      <c r="F149" s="91"/>
      <c r="G149" s="91"/>
      <c r="H149" s="81"/>
      <c r="I149" s="96"/>
      <c r="J149" s="92"/>
      <c r="K149" s="93"/>
      <c r="L149" t="s">
        <v>91</v>
      </c>
    </row>
    <row r="150" spans="1:12">
      <c r="A150" s="230" t="s">
        <v>273</v>
      </c>
      <c r="B150" s="231"/>
      <c r="C150" s="255">
        <f ca="1">'Calculs détaillés'!F27</f>
        <v>79841.25079715118</v>
      </c>
      <c r="D150" s="256" t="s">
        <v>91</v>
      </c>
      <c r="E150" s="95" t="s">
        <v>311</v>
      </c>
      <c r="F150" s="91"/>
      <c r="G150" s="91"/>
      <c r="H150" s="254"/>
      <c r="I150" s="96"/>
      <c r="J150" s="92"/>
      <c r="K150" s="93"/>
      <c r="L150" t="s">
        <v>91</v>
      </c>
    </row>
    <row r="151" spans="1:12" ht="12.6" customHeight="1">
      <c r="A151" s="230" t="s">
        <v>272</v>
      </c>
      <c r="B151" s="231"/>
      <c r="C151" s="255">
        <f ca="1">D94*(-1)</f>
        <v>-51098.400510176754</v>
      </c>
      <c r="D151" s="256"/>
      <c r="E151" s="95" t="s">
        <v>325</v>
      </c>
      <c r="F151" s="91"/>
      <c r="G151" s="91"/>
      <c r="H151" s="254"/>
      <c r="I151" s="96"/>
      <c r="J151" s="92"/>
      <c r="K151" s="93"/>
      <c r="L151" t="s">
        <v>91</v>
      </c>
    </row>
    <row r="152" spans="1:12" ht="13.95" customHeight="1">
      <c r="A152" s="490" t="s">
        <v>220</v>
      </c>
      <c r="B152" s="491"/>
      <c r="C152" s="128">
        <f ca="1">'Calculs détaillés'!H34</f>
        <v>7850.6637951967823</v>
      </c>
      <c r="D152" s="194" t="s">
        <v>91</v>
      </c>
      <c r="E152" s="95" t="s">
        <v>68</v>
      </c>
      <c r="F152" s="91"/>
      <c r="G152" s="91"/>
      <c r="H152" s="81"/>
      <c r="I152" s="96"/>
      <c r="J152" s="92"/>
      <c r="K152" s="93"/>
      <c r="L152" t="s">
        <v>91</v>
      </c>
    </row>
    <row r="153" spans="1:12">
      <c r="A153" s="114" t="s">
        <v>159</v>
      </c>
      <c r="B153" s="14"/>
      <c r="C153" s="127">
        <f ca="1">'Calculs détaillés'!E34</f>
        <v>-41498.169253281048</v>
      </c>
      <c r="D153" s="194" t="s">
        <v>91</v>
      </c>
      <c r="E153" s="95" t="s">
        <v>312</v>
      </c>
      <c r="F153" s="91"/>
      <c r="G153" s="91"/>
      <c r="H153" s="81"/>
      <c r="I153" s="96"/>
      <c r="J153" s="92"/>
      <c r="K153" s="93"/>
      <c r="L153" t="s">
        <v>91</v>
      </c>
    </row>
    <row r="154" spans="1:12">
      <c r="A154" s="41" t="s">
        <v>167</v>
      </c>
      <c r="B154" s="42"/>
      <c r="C154" s="141">
        <f>SUM(C148:C153)</f>
        <v>1378367.6532715911</v>
      </c>
      <c r="D154" s="193" t="s">
        <v>91</v>
      </c>
      <c r="E154" s="95" t="s">
        <v>229</v>
      </c>
      <c r="F154" s="91"/>
      <c r="G154" s="91"/>
      <c r="H154" s="81"/>
      <c r="I154" s="96"/>
      <c r="J154" s="92"/>
      <c r="K154" s="93"/>
    </row>
    <row r="155" spans="1:12">
      <c r="A155" s="135"/>
      <c r="B155" s="136"/>
      <c r="C155" s="138"/>
      <c r="D155" s="137"/>
      <c r="E155" s="117" t="s">
        <v>174</v>
      </c>
      <c r="F155" s="171"/>
      <c r="G155" s="171"/>
      <c r="H155" s="87"/>
      <c r="I155" s="97"/>
      <c r="J155" s="98"/>
      <c r="K155" s="99"/>
    </row>
    <row r="156" spans="1:12">
      <c r="A156" s="36" t="s">
        <v>221</v>
      </c>
      <c r="B156" s="14"/>
      <c r="C156" s="123"/>
      <c r="D156" s="125">
        <f>D146-C154</f>
        <v>7166830.6470062211</v>
      </c>
      <c r="E156" s="95"/>
      <c r="F156" s="91"/>
      <c r="G156" s="91"/>
      <c r="H156" s="81"/>
      <c r="I156" s="96"/>
      <c r="J156" s="310" t="s">
        <v>391</v>
      </c>
      <c r="K156" s="311" t="s">
        <v>392</v>
      </c>
    </row>
    <row r="157" spans="1:12">
      <c r="A157" s="36" t="s">
        <v>97</v>
      </c>
      <c r="B157" s="14"/>
      <c r="C157" s="123"/>
      <c r="D157" s="125">
        <f ca="1">'Calculs détaillés'!AJ34</f>
        <v>197171.24844450981</v>
      </c>
      <c r="E157" s="95" t="s">
        <v>398</v>
      </c>
      <c r="F157" s="91"/>
      <c r="G157" s="91"/>
      <c r="H157" s="81"/>
      <c r="I157" s="378" t="s">
        <v>91</v>
      </c>
      <c r="J157" s="232">
        <f>D131</f>
        <v>2.75E-2</v>
      </c>
      <c r="K157" s="233">
        <f>G110</f>
        <v>20</v>
      </c>
      <c r="L157" t="s">
        <v>91</v>
      </c>
    </row>
    <row r="158" spans="1:12">
      <c r="A158" s="41" t="s">
        <v>98</v>
      </c>
      <c r="B158" s="42"/>
      <c r="C158" s="126"/>
      <c r="D158" s="125">
        <f>D156+D157</f>
        <v>7364001.8954507308</v>
      </c>
      <c r="E158" s="95" t="s">
        <v>91</v>
      </c>
      <c r="F158" s="91"/>
      <c r="G158" s="91"/>
      <c r="H158" s="81"/>
      <c r="I158" s="96"/>
      <c r="J158" s="92"/>
      <c r="K158" s="93"/>
    </row>
    <row r="159" spans="1:12">
      <c r="A159" s="139"/>
      <c r="B159" s="136"/>
      <c r="C159" s="140"/>
      <c r="D159" s="137"/>
      <c r="E159" s="117" t="s">
        <v>182</v>
      </c>
      <c r="F159" s="171"/>
      <c r="G159" s="171"/>
      <c r="H159" s="87"/>
      <c r="I159" s="97"/>
      <c r="J159" s="98"/>
      <c r="K159" s="99"/>
    </row>
    <row r="160" spans="1:12">
      <c r="A160" s="36" t="s">
        <v>148</v>
      </c>
      <c r="B160" s="14"/>
      <c r="C160" s="123"/>
      <c r="D160" s="125"/>
      <c r="E160" s="117" t="s">
        <v>181</v>
      </c>
      <c r="F160" s="118"/>
      <c r="G160" s="118"/>
      <c r="H160" s="154"/>
      <c r="I160" s="155"/>
      <c r="J160" s="156"/>
      <c r="K160" s="157"/>
    </row>
    <row r="161" spans="1:12">
      <c r="A161" s="119" t="s">
        <v>155</v>
      </c>
      <c r="B161" s="120"/>
      <c r="C161" s="128">
        <f>D107</f>
        <v>3207862.04</v>
      </c>
      <c r="D161" s="194">
        <f>C161/C166</f>
        <v>0.65298204665439508</v>
      </c>
      <c r="E161" s="95" t="s">
        <v>222</v>
      </c>
      <c r="F161" s="91"/>
      <c r="G161" s="91"/>
      <c r="H161" s="81"/>
      <c r="I161" s="96"/>
      <c r="J161" s="92"/>
      <c r="K161" s="93"/>
    </row>
    <row r="162" spans="1:12">
      <c r="A162" s="119" t="s">
        <v>107</v>
      </c>
      <c r="B162" s="120"/>
      <c r="C162" s="127">
        <f ca="1">'Calculs détaillés'!AF34</f>
        <v>1499252.7910477635</v>
      </c>
      <c r="D162" s="194">
        <f>C162/C166</f>
        <v>0.30518306078732826</v>
      </c>
      <c r="E162" s="95" t="s">
        <v>364</v>
      </c>
      <c r="F162" s="91"/>
      <c r="G162" s="91"/>
      <c r="H162" s="81"/>
      <c r="I162" s="96"/>
      <c r="J162" s="92"/>
      <c r="K162" s="93"/>
    </row>
    <row r="163" spans="1:12">
      <c r="A163" s="234" t="s">
        <v>216</v>
      </c>
      <c r="C163" s="235">
        <v>0</v>
      </c>
      <c r="D163" s="236">
        <f>C163/C166</f>
        <v>0</v>
      </c>
      <c r="E163" s="95" t="s">
        <v>313</v>
      </c>
      <c r="F163" s="237"/>
      <c r="G163" s="237"/>
      <c r="H163" s="237"/>
      <c r="I163" s="237"/>
      <c r="J163" s="237"/>
      <c r="K163" s="8"/>
    </row>
    <row r="164" spans="1:12">
      <c r="A164" s="119" t="s">
        <v>80</v>
      </c>
      <c r="B164" s="120"/>
      <c r="C164" s="127">
        <f ca="1">'Calculs détaillés'!AH34</f>
        <v>149190.77230189426</v>
      </c>
      <c r="D164" s="194">
        <f>C164/C166</f>
        <v>3.0368792243833764E-2</v>
      </c>
      <c r="E164" s="95" t="s">
        <v>424</v>
      </c>
      <c r="F164" s="91"/>
      <c r="G164" s="91"/>
      <c r="H164" s="81"/>
      <c r="I164" s="96"/>
      <c r="J164" s="92"/>
      <c r="K164" s="93"/>
    </row>
    <row r="165" spans="1:12">
      <c r="A165" s="119" t="s">
        <v>81</v>
      </c>
      <c r="B165" s="120"/>
      <c r="C165" s="128">
        <f>D125</f>
        <v>56328.758399999999</v>
      </c>
      <c r="D165" s="194">
        <f>C165/C166</f>
        <v>1.1466100314442746E-2</v>
      </c>
      <c r="E165" s="84" t="s">
        <v>326</v>
      </c>
      <c r="F165" s="82"/>
      <c r="G165" s="82"/>
      <c r="H165" s="55"/>
      <c r="I165" s="85"/>
      <c r="J165" s="83"/>
      <c r="K165" s="94"/>
    </row>
    <row r="166" spans="1:12">
      <c r="A166" s="41" t="s">
        <v>93</v>
      </c>
      <c r="B166" s="42"/>
      <c r="C166" s="150">
        <f>C161+C162+C163+C164+C165</f>
        <v>4912634.3617496584</v>
      </c>
      <c r="D166" s="194" t="s">
        <v>91</v>
      </c>
      <c r="E166" s="84"/>
      <c r="F166" s="82"/>
      <c r="G166" s="82"/>
      <c r="H166" s="55"/>
      <c r="I166" s="85"/>
      <c r="J166" s="83"/>
      <c r="K166" s="94"/>
    </row>
    <row r="167" spans="1:12" ht="13.8" thickBot="1">
      <c r="A167" s="139" t="s">
        <v>91</v>
      </c>
      <c r="B167" s="136"/>
      <c r="C167" s="224"/>
      <c r="D167" s="225"/>
      <c r="E167" s="172" t="s">
        <v>214</v>
      </c>
      <c r="F167" s="173"/>
      <c r="G167" s="173"/>
      <c r="H167" s="174"/>
      <c r="I167" s="175"/>
      <c r="J167" s="176"/>
      <c r="K167" s="177"/>
    </row>
    <row r="168" spans="1:12">
      <c r="A168" s="36" t="s">
        <v>169</v>
      </c>
      <c r="B168" s="14"/>
      <c r="C168" s="159"/>
      <c r="D168" s="223">
        <f>D158-C166</f>
        <v>2451367.5337010724</v>
      </c>
      <c r="E168" s="84" t="s">
        <v>323</v>
      </c>
      <c r="F168" s="82"/>
      <c r="G168" s="82"/>
      <c r="H168" s="55"/>
      <c r="I168" s="85"/>
      <c r="J168" s="83"/>
      <c r="K168" s="58"/>
    </row>
    <row r="169" spans="1:12" ht="13.8" thickBot="1">
      <c r="A169" s="36"/>
      <c r="B169" s="14"/>
      <c r="C169" s="159"/>
      <c r="D169" s="160"/>
      <c r="E169" s="84" t="s">
        <v>324</v>
      </c>
      <c r="F169" s="82"/>
      <c r="G169" s="82"/>
      <c r="H169" s="55"/>
      <c r="I169" s="85"/>
      <c r="J169" s="83"/>
      <c r="K169" s="58"/>
    </row>
    <row r="170" spans="1:12" ht="13.8" thickBot="1">
      <c r="A170" s="36"/>
      <c r="B170" s="14"/>
      <c r="C170" s="10"/>
      <c r="D170" s="86"/>
      <c r="E170" s="84" t="s">
        <v>179</v>
      </c>
      <c r="F170" s="54"/>
      <c r="G170" s="54"/>
      <c r="H170" s="55"/>
      <c r="I170" s="56"/>
      <c r="J170" s="57"/>
      <c r="K170" s="162">
        <f ca="1">'Calculs détaillés'!AI28</f>
        <v>24956.259218161445</v>
      </c>
    </row>
    <row r="171" spans="1:12" ht="13.8" thickBot="1">
      <c r="A171" s="36" t="s">
        <v>166</v>
      </c>
      <c r="B171" s="14"/>
      <c r="C171" s="159"/>
      <c r="D171" s="163">
        <f>C166/D158</f>
        <v>0.66711476062825881</v>
      </c>
      <c r="E171" s="84" t="s">
        <v>316</v>
      </c>
      <c r="F171" s="82"/>
      <c r="G171" s="82"/>
      <c r="H171" s="55"/>
      <c r="I171" s="85"/>
      <c r="J171" s="83"/>
      <c r="K171" s="94"/>
    </row>
    <row r="172" spans="1:12" ht="13.8" thickBot="1">
      <c r="A172" s="36" t="s">
        <v>162</v>
      </c>
      <c r="B172" s="14"/>
      <c r="C172" s="159"/>
      <c r="D172" s="163">
        <f>D100/D158</f>
        <v>0.15158416793586071</v>
      </c>
      <c r="E172" s="84" t="s">
        <v>82</v>
      </c>
      <c r="F172" s="82"/>
      <c r="G172" s="82"/>
      <c r="H172" s="55"/>
      <c r="I172" s="85"/>
      <c r="J172" s="83"/>
      <c r="K172" s="94"/>
    </row>
    <row r="173" spans="1:12" ht="13.8" thickBot="1">
      <c r="A173" s="36" t="s">
        <v>314</v>
      </c>
      <c r="B173" s="14"/>
      <c r="C173" s="159"/>
      <c r="D173" s="163">
        <f>D100/C166</f>
        <v>0.22722352566911505</v>
      </c>
      <c r="E173" s="84" t="s">
        <v>315</v>
      </c>
      <c r="F173" s="82"/>
      <c r="G173" s="82"/>
      <c r="H173" s="55"/>
      <c r="I173" s="85"/>
      <c r="J173" s="83"/>
      <c r="K173" s="94"/>
    </row>
    <row r="174" spans="1:12">
      <c r="A174" s="284" t="s">
        <v>95</v>
      </c>
      <c r="B174" s="14"/>
      <c r="C174" s="10"/>
      <c r="D174" s="80"/>
      <c r="E174" s="129"/>
      <c r="F174" s="130"/>
      <c r="G174" s="130"/>
      <c r="H174" s="131"/>
      <c r="I174" s="132"/>
      <c r="J174" s="133"/>
      <c r="K174" s="134"/>
    </row>
    <row r="175" spans="1:12">
      <c r="A175" s="1" t="s">
        <v>384</v>
      </c>
      <c r="B175" s="1"/>
      <c r="C175" s="1"/>
      <c r="D175" s="1"/>
      <c r="E175" s="1"/>
    </row>
    <row r="176" spans="1:12">
      <c r="A176" s="51" t="s">
        <v>91</v>
      </c>
      <c r="B176" s="51"/>
      <c r="C176" s="51"/>
      <c r="D176" s="51" t="s">
        <v>91</v>
      </c>
      <c r="E176" s="60" t="s">
        <v>91</v>
      </c>
      <c r="F176" s="60"/>
      <c r="G176" s="60"/>
      <c r="H176" s="60"/>
      <c r="I176" s="60"/>
      <c r="J176" s="51"/>
      <c r="K176" s="51"/>
      <c r="L176" s="16"/>
    </row>
    <row r="177" spans="1:12">
      <c r="A177" s="51" t="s">
        <v>91</v>
      </c>
      <c r="B177" s="51"/>
      <c r="C177" s="51"/>
      <c r="D177" s="51" t="s">
        <v>91</v>
      </c>
      <c r="E177" s="60" t="s">
        <v>91</v>
      </c>
      <c r="F177" s="60"/>
      <c r="G177" s="60"/>
      <c r="H177" s="60"/>
      <c r="I177" s="60"/>
      <c r="J177" s="51"/>
      <c r="K177" s="51"/>
      <c r="L177" s="16"/>
    </row>
    <row r="178" spans="1:12">
      <c r="A178" s="45" t="s">
        <v>91</v>
      </c>
      <c r="B178" s="45"/>
      <c r="C178" s="45"/>
      <c r="D178" s="45" t="s">
        <v>91</v>
      </c>
      <c r="E178" s="51"/>
      <c r="F178" s="51"/>
      <c r="G178" s="51"/>
      <c r="H178" s="51"/>
      <c r="I178" s="51"/>
      <c r="J178" s="51"/>
      <c r="K178" s="51"/>
    </row>
    <row r="179" spans="1:12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</row>
  </sheetData>
  <mergeCells count="20">
    <mergeCell ref="A144:B144"/>
    <mergeCell ref="E129:I129"/>
    <mergeCell ref="A152:B152"/>
    <mergeCell ref="A145:B145"/>
    <mergeCell ref="C46:K46"/>
    <mergeCell ref="C48:K48"/>
    <mergeCell ref="A81:C81"/>
    <mergeCell ref="A62:C62"/>
    <mergeCell ref="E62:K62"/>
    <mergeCell ref="B75:C75"/>
    <mergeCell ref="A1:B1"/>
    <mergeCell ref="A5:K5"/>
    <mergeCell ref="E122:J122"/>
    <mergeCell ref="A128:B128"/>
    <mergeCell ref="A2:K2"/>
    <mergeCell ref="A4:K4"/>
    <mergeCell ref="E73:J73"/>
    <mergeCell ref="E74:J74"/>
    <mergeCell ref="A116:B116"/>
    <mergeCell ref="C45:K45"/>
  </mergeCells>
  <phoneticPr fontId="2" type="noConversion"/>
  <hyperlinks>
    <hyperlink ref="C52" r:id="rId1"/>
    <hyperlink ref="H54" r:id="rId2" display="Question"/>
    <hyperlink ref="E129" r:id="rId3" display="TMO (voir le site du Trésor)"/>
    <hyperlink ref="C14" r:id="rId4"/>
    <hyperlink ref="C9" r:id="rId5"/>
    <hyperlink ref="C54" r:id="rId6"/>
    <hyperlink ref="J97" r:id="rId7"/>
    <hyperlink ref="F138" r:id="rId8"/>
    <hyperlink ref="A174" r:id="rId9"/>
    <hyperlink ref="J129" r:id="rId10"/>
    <hyperlink ref="C26" r:id="rId11"/>
    <hyperlink ref="C28" r:id="rId12" location="LEGIARTI000021393710"/>
    <hyperlink ref="C29" r:id="rId13" location="LEGIARTI000006899037"/>
    <hyperlink ref="C27" r:id="rId14" location="LEGIARTI000006825180"/>
    <hyperlink ref="C30" r:id="rId15"/>
    <hyperlink ref="K74" r:id="rId16"/>
    <hyperlink ref="K86" r:id="rId17"/>
    <hyperlink ref="K87" r:id="rId18"/>
    <hyperlink ref="K131" r:id="rId19"/>
    <hyperlink ref="K133" r:id="rId20"/>
    <hyperlink ref="K134" r:id="rId21"/>
    <hyperlink ref="K135" r:id="rId22"/>
    <hyperlink ref="K136" r:id="rId23"/>
    <hyperlink ref="C16" r:id="rId24"/>
  </hyperlinks>
  <pageMargins left="0.19685039370078741" right="0.19685039370078741" top="0.78740157480314965" bottom="0.78740157480314965" header="0.39370078740157483" footer="0.39370078740157483"/>
  <pageSetup paperSize="9" orientation="landscape" horizontalDpi="300" verticalDpi="300" r:id="rId2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68"/>
  <sheetViews>
    <sheetView topLeftCell="Y7" zoomScaleNormal="110" workbookViewId="0">
      <selection activeCell="AE29" sqref="AE29"/>
    </sheetView>
  </sheetViews>
  <sheetFormatPr baseColWidth="10" defaultRowHeight="13.2"/>
  <cols>
    <col min="1" max="2" width="10.33203125" customWidth="1"/>
    <col min="3" max="3" width="12.88671875" bestFit="1" customWidth="1"/>
    <col min="4" max="4" width="10.33203125" customWidth="1"/>
    <col min="5" max="5" width="12.6640625" customWidth="1"/>
    <col min="6" max="6" width="8.88671875" customWidth="1"/>
    <col min="7" max="7" width="12.6640625" customWidth="1"/>
    <col min="8" max="8" width="8.88671875" customWidth="1"/>
    <col min="9" max="9" width="10.6640625" customWidth="1"/>
    <col min="10" max="11" width="10.44140625" customWidth="1"/>
    <col min="12" max="13" width="10.109375" customWidth="1"/>
    <col min="14" max="17" width="9.33203125" customWidth="1"/>
    <col min="18" max="18" width="10.44140625" customWidth="1"/>
    <col min="20" max="26" width="9.6640625" customWidth="1"/>
    <col min="27" max="27" width="10.5546875" customWidth="1"/>
    <col min="28" max="31" width="9.6640625" customWidth="1"/>
    <col min="32" max="32" width="11.88671875" customWidth="1"/>
    <col min="33" max="34" width="9.6640625" customWidth="1"/>
    <col min="35" max="35" width="12.88671875" customWidth="1"/>
    <col min="36" max="37" width="9.6640625" customWidth="1"/>
    <col min="38" max="38" width="11" customWidth="1"/>
  </cols>
  <sheetData>
    <row r="1" spans="1:39" ht="13.8" thickBot="1">
      <c r="A1" s="421" t="s">
        <v>350</v>
      </c>
      <c r="B1" s="37"/>
      <c r="C1" s="44"/>
      <c r="D1" s="44"/>
      <c r="E1" s="44"/>
      <c r="F1" s="44"/>
      <c r="G1" s="44"/>
      <c r="H1" s="44"/>
      <c r="I1" s="285" t="s">
        <v>95</v>
      </c>
      <c r="J1" s="44"/>
      <c r="K1" s="44"/>
      <c r="L1" s="44"/>
      <c r="M1" s="44"/>
      <c r="N1" s="44"/>
      <c r="O1" s="44"/>
      <c r="P1" s="24" t="s">
        <v>91</v>
      </c>
      <c r="Q1" s="185"/>
      <c r="R1" s="44"/>
      <c r="S1" s="44"/>
    </row>
    <row r="2" spans="1:39">
      <c r="A2" s="47" t="s">
        <v>122</v>
      </c>
      <c r="B2" s="47"/>
      <c r="C2" s="1"/>
      <c r="D2" s="48">
        <f ca="1">'Test de compensation'!D133</f>
        <v>1.7000000000000001E-2</v>
      </c>
      <c r="E2" s="142">
        <f ca="1">'Test de compensation'!D86+'Test de compensation'!D87</f>
        <v>0.03</v>
      </c>
      <c r="F2" s="142"/>
      <c r="G2" s="142"/>
      <c r="H2" s="142"/>
      <c r="I2" s="1"/>
      <c r="J2" s="1" t="s">
        <v>161</v>
      </c>
      <c r="K2" s="1"/>
      <c r="L2" s="49">
        <f ca="1">'Test de compensation'!D115</f>
        <v>2816437.92</v>
      </c>
      <c r="M2" s="49"/>
      <c r="N2" s="1"/>
      <c r="O2" s="1"/>
      <c r="P2" s="1"/>
      <c r="Q2" s="1"/>
      <c r="R2" s="1"/>
      <c r="S2" s="1"/>
    </row>
    <row r="3" spans="1:39" ht="13.8" thickBot="1">
      <c r="A3" s="47"/>
      <c r="B3" s="47"/>
      <c r="C3" s="1"/>
      <c r="D3" s="48"/>
      <c r="E3" s="142"/>
      <c r="F3" s="142"/>
      <c r="G3" s="142"/>
      <c r="H3" s="142"/>
      <c r="I3" s="1"/>
      <c r="J3" s="1" t="s">
        <v>203</v>
      </c>
      <c r="K3" s="1"/>
      <c r="L3" s="49">
        <f ca="1">'Test de compensation'!G110</f>
        <v>20</v>
      </c>
      <c r="M3" s="49"/>
      <c r="N3" s="1" t="s">
        <v>215</v>
      </c>
      <c r="O3" s="1"/>
      <c r="P3" s="241">
        <f ca="1">'Test de compensation'!K157</f>
        <v>20</v>
      </c>
      <c r="Q3" s="1"/>
      <c r="R3" s="1"/>
      <c r="S3" s="1"/>
    </row>
    <row r="4" spans="1:39" ht="13.8" thickBot="1">
      <c r="A4" s="47"/>
      <c r="B4" s="47"/>
      <c r="C4" s="493" t="s">
        <v>152</v>
      </c>
      <c r="D4" s="512"/>
      <c r="E4" s="512"/>
      <c r="F4" s="513"/>
      <c r="G4" s="513"/>
      <c r="H4" s="512"/>
      <c r="I4" s="514"/>
      <c r="J4" s="493" t="s">
        <v>151</v>
      </c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4"/>
      <c r="AD4" s="493" t="s">
        <v>190</v>
      </c>
      <c r="AE4" s="494"/>
      <c r="AF4" s="494"/>
      <c r="AG4" s="494"/>
      <c r="AH4" s="494"/>
      <c r="AI4" s="495"/>
      <c r="AJ4" s="345" t="s">
        <v>191</v>
      </c>
      <c r="AK4" s="345" t="s">
        <v>193</v>
      </c>
      <c r="AL4" s="220" t="s">
        <v>192</v>
      </c>
    </row>
    <row r="5" spans="1:39" ht="21.6" thickBot="1">
      <c r="A5" s="47"/>
      <c r="B5" s="47"/>
      <c r="C5" s="186" t="s">
        <v>46</v>
      </c>
      <c r="D5" s="444" t="s">
        <v>47</v>
      </c>
      <c r="E5" s="187" t="s">
        <v>195</v>
      </c>
      <c r="F5" s="240" t="s">
        <v>198</v>
      </c>
      <c r="G5" s="240" t="s">
        <v>275</v>
      </c>
      <c r="H5" s="187" t="s">
        <v>274</v>
      </c>
      <c r="I5" s="220" t="s">
        <v>388</v>
      </c>
      <c r="J5" s="515" t="s">
        <v>185</v>
      </c>
      <c r="K5" s="516"/>
      <c r="L5" s="503" t="s">
        <v>184</v>
      </c>
      <c r="M5" s="504"/>
      <c r="N5" s="505" t="s">
        <v>183</v>
      </c>
      <c r="O5" s="506"/>
      <c r="P5" s="505" t="s">
        <v>186</v>
      </c>
      <c r="Q5" s="507"/>
      <c r="R5" s="493" t="s">
        <v>187</v>
      </c>
      <c r="S5" s="508"/>
      <c r="T5" s="509"/>
      <c r="U5" s="493" t="s">
        <v>403</v>
      </c>
      <c r="V5" s="494"/>
      <c r="W5" s="494"/>
      <c r="X5" s="494"/>
      <c r="Y5" s="507"/>
      <c r="Z5" s="426" t="s">
        <v>188</v>
      </c>
      <c r="AA5" s="305" t="s">
        <v>189</v>
      </c>
      <c r="AB5" s="220" t="s">
        <v>381</v>
      </c>
      <c r="AC5" s="220" t="s">
        <v>382</v>
      </c>
      <c r="AD5" s="319" t="s">
        <v>205</v>
      </c>
      <c r="AE5" s="320" t="s">
        <v>354</v>
      </c>
      <c r="AF5" s="320" t="s">
        <v>355</v>
      </c>
      <c r="AG5" s="321" t="s">
        <v>357</v>
      </c>
      <c r="AH5" s="348" t="s">
        <v>358</v>
      </c>
      <c r="AI5" s="352" t="s">
        <v>383</v>
      </c>
      <c r="AJ5" s="355"/>
      <c r="AK5" s="355"/>
      <c r="AL5" s="354"/>
    </row>
    <row r="6" spans="1:39" ht="52.2" thickBot="1">
      <c r="A6" s="52" t="s">
        <v>121</v>
      </c>
      <c r="B6" s="359" t="s">
        <v>389</v>
      </c>
      <c r="C6" s="190" t="s">
        <v>199</v>
      </c>
      <c r="D6" s="53" t="s">
        <v>200</v>
      </c>
      <c r="E6" s="53" t="s">
        <v>201</v>
      </c>
      <c r="F6" s="238" t="s">
        <v>48</v>
      </c>
      <c r="G6" s="238" t="s">
        <v>49</v>
      </c>
      <c r="H6" s="53" t="s">
        <v>353</v>
      </c>
      <c r="I6" s="357" t="s">
        <v>202</v>
      </c>
      <c r="J6" s="53" t="s">
        <v>196</v>
      </c>
      <c r="K6" s="53" t="s">
        <v>197</v>
      </c>
      <c r="L6" s="53" t="s">
        <v>196</v>
      </c>
      <c r="M6" s="53" t="s">
        <v>197</v>
      </c>
      <c r="N6" s="53" t="s">
        <v>196</v>
      </c>
      <c r="O6" s="53" t="s">
        <v>197</v>
      </c>
      <c r="P6" s="53" t="s">
        <v>196</v>
      </c>
      <c r="Q6" s="53" t="s">
        <v>197</v>
      </c>
      <c r="R6" s="148" t="s">
        <v>196</v>
      </c>
      <c r="S6" s="189" t="s">
        <v>197</v>
      </c>
      <c r="T6" s="181" t="s">
        <v>213</v>
      </c>
      <c r="U6" s="387" t="s">
        <v>402</v>
      </c>
      <c r="V6" s="387" t="s">
        <v>399</v>
      </c>
      <c r="W6" s="387" t="s">
        <v>400</v>
      </c>
      <c r="X6" s="387" t="s">
        <v>401</v>
      </c>
      <c r="Y6" s="387" t="s">
        <v>390</v>
      </c>
      <c r="Z6" s="188" t="s">
        <v>1</v>
      </c>
      <c r="AA6" s="180" t="s">
        <v>361</v>
      </c>
      <c r="AB6" s="347" t="s">
        <v>91</v>
      </c>
      <c r="AC6" s="347" t="s">
        <v>91</v>
      </c>
      <c r="AD6" s="188" t="s">
        <v>93</v>
      </c>
      <c r="AE6" s="180" t="s">
        <v>360</v>
      </c>
      <c r="AF6" s="180" t="s">
        <v>356</v>
      </c>
      <c r="AG6" s="180" t="s">
        <v>359</v>
      </c>
      <c r="AH6" s="349" t="s">
        <v>213</v>
      </c>
      <c r="AI6" s="353" t="s">
        <v>91</v>
      </c>
      <c r="AJ6" s="353" t="s">
        <v>97</v>
      </c>
      <c r="AK6" s="353" t="s">
        <v>98</v>
      </c>
      <c r="AL6" s="347" t="s">
        <v>385</v>
      </c>
      <c r="AM6" s="304" t="s">
        <v>91</v>
      </c>
    </row>
    <row r="7" spans="1:39">
      <c r="A7" s="46">
        <v>1</v>
      </c>
      <c r="B7" s="360">
        <f>D2</f>
        <v>1.7000000000000001E-2</v>
      </c>
      <c r="C7" s="191">
        <f ca="1">'Test de compensation'!D80</f>
        <v>25493.75849053479</v>
      </c>
      <c r="D7" s="45">
        <f ca="1">'Test de compensation'!D83</f>
        <v>67104.926565239148</v>
      </c>
      <c r="E7" s="45">
        <f ca="1">-(C7+D7)*E2</f>
        <v>-2777.9605516732181</v>
      </c>
      <c r="F7" s="239">
        <f ca="1">'Test de compensation'!D93</f>
        <v>79841.25079715118</v>
      </c>
      <c r="G7" s="239">
        <f ca="1">'Test de compensation'!D94*-1</f>
        <v>-51098.400510176754</v>
      </c>
      <c r="H7" s="45">
        <f ca="1">'Test de compensation'!D95</f>
        <v>399.20625398575589</v>
      </c>
      <c r="I7" s="146">
        <f ca="1">SUM(C7:H7)</f>
        <v>118962.78104506092</v>
      </c>
      <c r="J7" s="45">
        <f ca="1">PMT('Test de compensation'!F110,'Test de compensation'!G110,-'Test de compensation'!D110)</f>
        <v>170725.62845735907</v>
      </c>
      <c r="K7" s="45">
        <f ca="1">PMT('Test de compensation'!D129,'Test de compensation'!G110,-'Test de compensation'!D110)</f>
        <v>178518.66223515218</v>
      </c>
      <c r="L7" s="45">
        <f ca="1">PMT('Test de compensation'!F111,'Test de compensation'!G111,-'Test de compensation'!D111)</f>
        <v>13724.600635057535</v>
      </c>
      <c r="M7" s="45">
        <f ca="1">PMT('Test de compensation'!D129,'Test de compensation'!G111,-'Test de compensation'!D111)</f>
        <v>15409.856854444992</v>
      </c>
      <c r="N7" s="45">
        <f ca="1">PMT('Test de compensation'!F112,'Test de compensation'!G112,-'Test de compensation'!D112)</f>
        <v>11102.842094065038</v>
      </c>
      <c r="O7" s="45">
        <f ca="1">PMT('Test de compensation'!D129,'Test de compensation'!G112,-'Test de compensation'!D112)</f>
        <v>10786.899186439363</v>
      </c>
      <c r="P7" s="45">
        <f ca="1">PMT('Test de compensation'!F113,'Test de compensation'!G113,-'Test de compensation'!D113)</f>
        <v>0</v>
      </c>
      <c r="Q7" s="45">
        <f ca="1">PMT('Test de compensation'!D129,'Test de compensation'!G113,-'Test de compensation'!D113)</f>
        <v>0</v>
      </c>
      <c r="R7" s="146">
        <f>J7+L7+N7+P7</f>
        <v>195553.07118648165</v>
      </c>
      <c r="S7" s="145">
        <f>K7+M7+O7+Q7</f>
        <v>204715.41827603654</v>
      </c>
      <c r="T7" s="146">
        <f t="shared" ref="T7:T26" si="0">S7-R7</f>
        <v>9162.3470895548817</v>
      </c>
      <c r="U7" s="388">
        <v>3.5900000000000001E-2</v>
      </c>
      <c r="V7" s="356">
        <v>427335.43640989682</v>
      </c>
      <c r="W7" s="144">
        <f ca="1">'Test de compensation'!D130*'Test de compensation'!D129</f>
        <v>216272.368564</v>
      </c>
      <c r="X7" s="356">
        <f ca="1">V7-W7</f>
        <v>211063.06784589682</v>
      </c>
      <c r="Y7" s="356">
        <f ca="1">'Test de compensation'!D130-'Calculs détaillés'!X7</f>
        <v>5813236.8921541031</v>
      </c>
      <c r="Z7" s="323">
        <f ca="1">X27*'Test de compensation'!D136</f>
        <v>120485.99920000003</v>
      </c>
      <c r="AA7" s="326">
        <f ca="1">'Test de compensation'!D68</f>
        <v>6202642.6799999997</v>
      </c>
      <c r="AB7" s="221" t="s">
        <v>91</v>
      </c>
      <c r="AC7" s="146" t="s">
        <v>91</v>
      </c>
      <c r="AD7" s="346">
        <f ca="1">'Test de compensation'!D107</f>
        <v>3207862.04</v>
      </c>
      <c r="AE7" s="221">
        <f ca="1">'Test de compensation'!C163</f>
        <v>0</v>
      </c>
      <c r="AF7" s="221">
        <v>0</v>
      </c>
      <c r="AG7" s="221">
        <f ca="1">'Test de compensation'!D115*'Test de compensation'!D136</f>
        <v>56328.758399999999</v>
      </c>
      <c r="AH7" s="350">
        <f t="shared" ref="AH7:AH12" si="1">T7</f>
        <v>9162.3470895548817</v>
      </c>
      <c r="AI7" s="144">
        <f t="shared" ref="AI7:AI27" si="2">AD7+AE7+AF7+AG7+AH7</f>
        <v>3273353.1454895549</v>
      </c>
      <c r="AJ7" s="356">
        <f ca="1">PMT('Test de compensation'!D131,'Test de compensation'!G110,-'Test de compensation'!D108)</f>
        <v>11712.075063393575</v>
      </c>
      <c r="AK7" s="356" t="s">
        <v>91</v>
      </c>
      <c r="AL7" s="153" t="s">
        <v>91</v>
      </c>
      <c r="AM7" s="45" t="s">
        <v>91</v>
      </c>
    </row>
    <row r="8" spans="1:39">
      <c r="A8" s="46">
        <v>2</v>
      </c>
      <c r="B8" s="360">
        <f t="shared" ref="B8:B26" si="3">B7</f>
        <v>1.7000000000000001E-2</v>
      </c>
      <c r="C8" s="191">
        <f>C7+(C7*D2)</f>
        <v>25927.152384873883</v>
      </c>
      <c r="D8" s="45">
        <f t="shared" ref="D8:D26" si="4">D7</f>
        <v>67104.926565239148</v>
      </c>
      <c r="E8" s="45">
        <f>-(C8+D8)*E2</f>
        <v>-2790.9623685033907</v>
      </c>
      <c r="F8" s="239">
        <v>0</v>
      </c>
      <c r="G8" s="239">
        <v>0</v>
      </c>
      <c r="H8" s="45">
        <f>H7+(H7*D2)</f>
        <v>405.99276030351376</v>
      </c>
      <c r="I8" s="146">
        <f t="shared" ref="I8:I26" si="5">SUM(C8:H8)</f>
        <v>90647.109341913165</v>
      </c>
      <c r="J8" s="45">
        <f t="shared" ref="J8:Q8" si="6">J7</f>
        <v>170725.62845735907</v>
      </c>
      <c r="K8" s="45">
        <f t="shared" si="6"/>
        <v>178518.66223515218</v>
      </c>
      <c r="L8" s="45">
        <f t="shared" si="6"/>
        <v>13724.600635057535</v>
      </c>
      <c r="M8" s="45">
        <f t="shared" si="6"/>
        <v>15409.856854444992</v>
      </c>
      <c r="N8" s="45">
        <f t="shared" si="6"/>
        <v>11102.842094065038</v>
      </c>
      <c r="O8" s="45">
        <f t="shared" si="6"/>
        <v>10786.899186439363</v>
      </c>
      <c r="P8" s="45">
        <f t="shared" si="6"/>
        <v>0</v>
      </c>
      <c r="Q8" s="45">
        <f t="shared" si="6"/>
        <v>0</v>
      </c>
      <c r="R8" s="146">
        <f t="shared" ref="R8:R26" si="7">J8+L8+N8+P8</f>
        <v>195553.07118648165</v>
      </c>
      <c r="S8" s="145">
        <f t="shared" ref="S8:S26" si="8">K8+M8+O8+Q8</f>
        <v>204715.41827603654</v>
      </c>
      <c r="T8" s="146">
        <f t="shared" si="0"/>
        <v>9162.3470895548817</v>
      </c>
      <c r="U8" s="388">
        <v>3.5900000000000001E-2</v>
      </c>
      <c r="V8" s="356">
        <v>427335.43640989682</v>
      </c>
      <c r="W8" s="144">
        <f ca="1">Y7*U7</f>
        <v>208695.2044283323</v>
      </c>
      <c r="X8" s="356">
        <f t="shared" ref="X8:X26" si="9">V8-W8</f>
        <v>218640.23198156452</v>
      </c>
      <c r="Y8" s="356">
        <f ca="1">Y7-X8</f>
        <v>5594596.6601725388</v>
      </c>
      <c r="Z8" s="324">
        <v>0</v>
      </c>
      <c r="AA8" s="327">
        <v>0</v>
      </c>
      <c r="AB8" s="221" t="s">
        <v>91</v>
      </c>
      <c r="AC8" s="146" t="s">
        <v>91</v>
      </c>
      <c r="AD8" s="346">
        <v>0</v>
      </c>
      <c r="AE8" s="221">
        <v>0</v>
      </c>
      <c r="AF8" s="221">
        <f ca="1">'Test de compensation'!D92</f>
        <v>1550660.67</v>
      </c>
      <c r="AG8" s="221">
        <v>0</v>
      </c>
      <c r="AH8" s="350">
        <f t="shared" si="1"/>
        <v>9162.3470895548817</v>
      </c>
      <c r="AI8" s="144">
        <f t="shared" si="2"/>
        <v>1559823.0170895548</v>
      </c>
      <c r="AJ8" s="356">
        <f ca="1">AJ7</f>
        <v>11712.075063393575</v>
      </c>
      <c r="AK8" s="356" t="s">
        <v>91</v>
      </c>
      <c r="AL8" s="153" t="s">
        <v>91</v>
      </c>
      <c r="AM8" s="45" t="s">
        <v>91</v>
      </c>
    </row>
    <row r="9" spans="1:39">
      <c r="A9" s="46">
        <v>3</v>
      </c>
      <c r="B9" s="360">
        <f t="shared" si="3"/>
        <v>1.7000000000000001E-2</v>
      </c>
      <c r="C9" s="191">
        <f>C8+(C8*D2)</f>
        <v>26367.913975416741</v>
      </c>
      <c r="D9" s="45">
        <f t="shared" si="4"/>
        <v>67104.926565239148</v>
      </c>
      <c r="E9" s="45">
        <f>-(C9+D9)*E2</f>
        <v>-2804.1852162196765</v>
      </c>
      <c r="F9" s="239">
        <v>0</v>
      </c>
      <c r="G9" s="239">
        <v>0</v>
      </c>
      <c r="H9" s="45">
        <f>H8+(H8*D2)</f>
        <v>412.8946372286735</v>
      </c>
      <c r="I9" s="146">
        <f t="shared" si="5"/>
        <v>91081.549961664889</v>
      </c>
      <c r="J9" s="45">
        <f t="shared" ref="J9:Q9" si="10">J7</f>
        <v>170725.62845735907</v>
      </c>
      <c r="K9" s="45">
        <f t="shared" si="10"/>
        <v>178518.66223515218</v>
      </c>
      <c r="L9" s="45">
        <f t="shared" si="10"/>
        <v>13724.600635057535</v>
      </c>
      <c r="M9" s="45">
        <f t="shared" si="10"/>
        <v>15409.856854444992</v>
      </c>
      <c r="N9" s="45">
        <f t="shared" si="10"/>
        <v>11102.842094065038</v>
      </c>
      <c r="O9" s="45">
        <f t="shared" si="10"/>
        <v>10786.899186439363</v>
      </c>
      <c r="P9" s="45">
        <f t="shared" si="10"/>
        <v>0</v>
      </c>
      <c r="Q9" s="45">
        <f t="shared" si="10"/>
        <v>0</v>
      </c>
      <c r="R9" s="146">
        <f t="shared" si="7"/>
        <v>195553.07118648165</v>
      </c>
      <c r="S9" s="145">
        <f t="shared" si="8"/>
        <v>204715.41827603654</v>
      </c>
      <c r="T9" s="146">
        <f t="shared" si="0"/>
        <v>9162.3470895548817</v>
      </c>
      <c r="U9" s="388">
        <v>3.5900000000000001E-2</v>
      </c>
      <c r="V9" s="356">
        <v>427335.43640989682</v>
      </c>
      <c r="W9" s="144">
        <f t="shared" ref="W9:W26" si="11">Y8*U8</f>
        <v>200846.02010019415</v>
      </c>
      <c r="X9" s="356">
        <f t="shared" si="9"/>
        <v>226489.41630970268</v>
      </c>
      <c r="Y9" s="356">
        <f t="shared" ref="Y9:Y26" si="12">Y8-X9</f>
        <v>5368107.2438628357</v>
      </c>
      <c r="Z9" s="324">
        <v>0</v>
      </c>
      <c r="AA9" s="327">
        <v>0</v>
      </c>
      <c r="AB9" s="221" t="s">
        <v>91</v>
      </c>
      <c r="AC9" s="146" t="s">
        <v>91</v>
      </c>
      <c r="AD9" s="346">
        <v>0</v>
      </c>
      <c r="AE9" s="221">
        <v>0</v>
      </c>
      <c r="AF9" s="221">
        <v>0</v>
      </c>
      <c r="AG9" s="221">
        <v>0</v>
      </c>
      <c r="AH9" s="350">
        <f t="shared" si="1"/>
        <v>9162.3470895548817</v>
      </c>
      <c r="AI9" s="144">
        <f t="shared" si="2"/>
        <v>9162.3470895548817</v>
      </c>
      <c r="AJ9" s="356">
        <f>AJ7</f>
        <v>11712.075063393575</v>
      </c>
      <c r="AK9" s="356" t="s">
        <v>91</v>
      </c>
      <c r="AL9" s="153" t="s">
        <v>91</v>
      </c>
      <c r="AM9" s="45" t="s">
        <v>91</v>
      </c>
    </row>
    <row r="10" spans="1:39">
      <c r="A10" s="46">
        <v>4</v>
      </c>
      <c r="B10" s="360">
        <f t="shared" si="3"/>
        <v>1.7000000000000001E-2</v>
      </c>
      <c r="C10" s="191">
        <f>C9+(C9*D2)</f>
        <v>26816.168512998825</v>
      </c>
      <c r="D10" s="45">
        <f t="shared" si="4"/>
        <v>67104.926565239148</v>
      </c>
      <c r="E10" s="45">
        <f>-(C10+D10)*E2</f>
        <v>-2817.6328523471389</v>
      </c>
      <c r="F10" s="239">
        <v>0</v>
      </c>
      <c r="G10" s="239">
        <v>0</v>
      </c>
      <c r="H10" s="45">
        <f>H9+(H9*D2)</f>
        <v>419.91384606156095</v>
      </c>
      <c r="I10" s="146">
        <f t="shared" si="5"/>
        <v>91523.376071952385</v>
      </c>
      <c r="J10" s="45">
        <f t="shared" ref="J10:Q10" si="13">J7</f>
        <v>170725.62845735907</v>
      </c>
      <c r="K10" s="45">
        <f t="shared" si="13"/>
        <v>178518.66223515218</v>
      </c>
      <c r="L10" s="45">
        <f t="shared" si="13"/>
        <v>13724.600635057535</v>
      </c>
      <c r="M10" s="45">
        <f t="shared" si="13"/>
        <v>15409.856854444992</v>
      </c>
      <c r="N10" s="45">
        <f t="shared" si="13"/>
        <v>11102.842094065038</v>
      </c>
      <c r="O10" s="45">
        <f t="shared" si="13"/>
        <v>10786.899186439363</v>
      </c>
      <c r="P10" s="45">
        <f t="shared" si="13"/>
        <v>0</v>
      </c>
      <c r="Q10" s="45">
        <f t="shared" si="13"/>
        <v>0</v>
      </c>
      <c r="R10" s="146">
        <f t="shared" si="7"/>
        <v>195553.07118648165</v>
      </c>
      <c r="S10" s="145">
        <f t="shared" si="8"/>
        <v>204715.41827603654</v>
      </c>
      <c r="T10" s="146">
        <f t="shared" si="0"/>
        <v>9162.3470895548817</v>
      </c>
      <c r="U10" s="388">
        <v>3.5900000000000001E-2</v>
      </c>
      <c r="V10" s="356">
        <v>427335.43640989682</v>
      </c>
      <c r="W10" s="144">
        <f t="shared" si="11"/>
        <v>192715.05005467581</v>
      </c>
      <c r="X10" s="356">
        <f t="shared" si="9"/>
        <v>234620.38635522101</v>
      </c>
      <c r="Y10" s="356">
        <f t="shared" si="12"/>
        <v>5133486.8575076144</v>
      </c>
      <c r="Z10" s="324">
        <v>0</v>
      </c>
      <c r="AA10" s="327">
        <v>0</v>
      </c>
      <c r="AB10" s="221" t="s">
        <v>91</v>
      </c>
      <c r="AC10" s="146" t="s">
        <v>91</v>
      </c>
      <c r="AD10" s="346">
        <v>0</v>
      </c>
      <c r="AE10" s="221">
        <v>0</v>
      </c>
      <c r="AF10" s="221">
        <v>0</v>
      </c>
      <c r="AG10" s="221">
        <v>0</v>
      </c>
      <c r="AH10" s="350">
        <f t="shared" si="1"/>
        <v>9162.3470895548817</v>
      </c>
      <c r="AI10" s="144">
        <f t="shared" si="2"/>
        <v>9162.3470895548817</v>
      </c>
      <c r="AJ10" s="356">
        <f>AJ7</f>
        <v>11712.075063393575</v>
      </c>
      <c r="AK10" s="356" t="s">
        <v>91</v>
      </c>
      <c r="AL10" s="153" t="s">
        <v>91</v>
      </c>
      <c r="AM10" s="45" t="s">
        <v>91</v>
      </c>
    </row>
    <row r="11" spans="1:39">
      <c r="A11" s="46">
        <v>5</v>
      </c>
      <c r="B11" s="360">
        <f t="shared" si="3"/>
        <v>1.7000000000000001E-2</v>
      </c>
      <c r="C11" s="191">
        <f>C10+(C10*D2)</f>
        <v>27272.043377719805</v>
      </c>
      <c r="D11" s="45">
        <f t="shared" si="4"/>
        <v>67104.926565239148</v>
      </c>
      <c r="E11" s="45">
        <f>-(C11+D11)*E2</f>
        <v>-2831.3090982887684</v>
      </c>
      <c r="F11" s="239">
        <v>0</v>
      </c>
      <c r="G11" s="239">
        <v>0</v>
      </c>
      <c r="H11" s="45">
        <f>H10+(H10*D2)</f>
        <v>427.05238144460748</v>
      </c>
      <c r="I11" s="146">
        <f t="shared" si="5"/>
        <v>91972.713226114793</v>
      </c>
      <c r="J11" s="45">
        <f t="shared" ref="J11:Q11" si="14">J7</f>
        <v>170725.62845735907</v>
      </c>
      <c r="K11" s="45">
        <f t="shared" si="14"/>
        <v>178518.66223515218</v>
      </c>
      <c r="L11" s="45">
        <f t="shared" si="14"/>
        <v>13724.600635057535</v>
      </c>
      <c r="M11" s="45">
        <f t="shared" si="14"/>
        <v>15409.856854444992</v>
      </c>
      <c r="N11" s="45">
        <f t="shared" si="14"/>
        <v>11102.842094065038</v>
      </c>
      <c r="O11" s="45">
        <f t="shared" si="14"/>
        <v>10786.899186439363</v>
      </c>
      <c r="P11" s="45">
        <f t="shared" si="14"/>
        <v>0</v>
      </c>
      <c r="Q11" s="45">
        <f t="shared" si="14"/>
        <v>0</v>
      </c>
      <c r="R11" s="146">
        <f t="shared" si="7"/>
        <v>195553.07118648165</v>
      </c>
      <c r="S11" s="145">
        <f t="shared" si="8"/>
        <v>204715.41827603654</v>
      </c>
      <c r="T11" s="146">
        <f t="shared" si="0"/>
        <v>9162.3470895548817</v>
      </c>
      <c r="U11" s="388">
        <v>3.5900000000000001E-2</v>
      </c>
      <c r="V11" s="356">
        <v>427335.43640989682</v>
      </c>
      <c r="W11" s="144">
        <f t="shared" si="11"/>
        <v>184292.17818452336</v>
      </c>
      <c r="X11" s="356">
        <f t="shared" si="9"/>
        <v>243043.25822537346</v>
      </c>
      <c r="Y11" s="356">
        <f t="shared" si="12"/>
        <v>4890443.5992822405</v>
      </c>
      <c r="Z11" s="324">
        <v>0</v>
      </c>
      <c r="AA11" s="327">
        <v>0</v>
      </c>
      <c r="AB11" s="221" t="s">
        <v>91</v>
      </c>
      <c r="AC11" s="146" t="s">
        <v>91</v>
      </c>
      <c r="AD11" s="346">
        <v>0</v>
      </c>
      <c r="AE11" s="221">
        <v>0</v>
      </c>
      <c r="AF11" s="221">
        <v>0</v>
      </c>
      <c r="AG11" s="221">
        <v>0</v>
      </c>
      <c r="AH11" s="350">
        <f t="shared" si="1"/>
        <v>9162.3470895548817</v>
      </c>
      <c r="AI11" s="144">
        <f t="shared" si="2"/>
        <v>9162.3470895548817</v>
      </c>
      <c r="AJ11" s="356">
        <f>AJ7</f>
        <v>11712.075063393575</v>
      </c>
      <c r="AK11" s="356" t="s">
        <v>91</v>
      </c>
      <c r="AL11" s="153" t="s">
        <v>91</v>
      </c>
      <c r="AM11" s="45" t="s">
        <v>91</v>
      </c>
    </row>
    <row r="12" spans="1:39">
      <c r="A12" s="46">
        <v>6</v>
      </c>
      <c r="B12" s="360">
        <f t="shared" si="3"/>
        <v>1.7000000000000001E-2</v>
      </c>
      <c r="C12" s="191">
        <f>C11+(C11*D2)</f>
        <v>27735.668115141041</v>
      </c>
      <c r="D12" s="45">
        <f t="shared" si="4"/>
        <v>67104.926565239148</v>
      </c>
      <c r="E12" s="45">
        <f>-(C12+D12)*E2</f>
        <v>-2845.2178404114056</v>
      </c>
      <c r="F12" s="239">
        <v>0</v>
      </c>
      <c r="G12" s="239">
        <v>0</v>
      </c>
      <c r="H12" s="45">
        <f>H11+(H11*D2)</f>
        <v>434.31227192916583</v>
      </c>
      <c r="I12" s="146">
        <f t="shared" si="5"/>
        <v>92429.689111897955</v>
      </c>
      <c r="J12" s="45">
        <f t="shared" ref="J12:Q12" si="15">J7</f>
        <v>170725.62845735907</v>
      </c>
      <c r="K12" s="45">
        <f t="shared" si="15"/>
        <v>178518.66223515218</v>
      </c>
      <c r="L12" s="45">
        <f t="shared" si="15"/>
        <v>13724.600635057535</v>
      </c>
      <c r="M12" s="45">
        <f t="shared" si="15"/>
        <v>15409.856854444992</v>
      </c>
      <c r="N12" s="45">
        <f t="shared" si="15"/>
        <v>11102.842094065038</v>
      </c>
      <c r="O12" s="45">
        <f t="shared" si="15"/>
        <v>10786.899186439363</v>
      </c>
      <c r="P12" s="45">
        <f t="shared" si="15"/>
        <v>0</v>
      </c>
      <c r="Q12" s="45">
        <f t="shared" si="15"/>
        <v>0</v>
      </c>
      <c r="R12" s="146">
        <f t="shared" si="7"/>
        <v>195553.07118648165</v>
      </c>
      <c r="S12" s="145">
        <f t="shared" si="8"/>
        <v>204715.41827603654</v>
      </c>
      <c r="T12" s="146">
        <f t="shared" si="0"/>
        <v>9162.3470895548817</v>
      </c>
      <c r="U12" s="388">
        <v>3.5900000000000001E-2</v>
      </c>
      <c r="V12" s="356">
        <v>427335.43640989682</v>
      </c>
      <c r="W12" s="144">
        <f t="shared" si="11"/>
        <v>175566.92521423244</v>
      </c>
      <c r="X12" s="356">
        <f t="shared" si="9"/>
        <v>251768.51119566438</v>
      </c>
      <c r="Y12" s="356">
        <f t="shared" si="12"/>
        <v>4638675.0880865762</v>
      </c>
      <c r="Z12" s="324">
        <v>0</v>
      </c>
      <c r="AA12" s="327">
        <v>0</v>
      </c>
      <c r="AB12" s="221" t="s">
        <v>91</v>
      </c>
      <c r="AC12" s="146" t="s">
        <v>91</v>
      </c>
      <c r="AD12" s="346">
        <v>0</v>
      </c>
      <c r="AE12" s="221">
        <v>0</v>
      </c>
      <c r="AF12" s="221">
        <f t="shared" ref="AF12:AF26" si="16">AF11</f>
        <v>0</v>
      </c>
      <c r="AG12" s="221">
        <v>0</v>
      </c>
      <c r="AH12" s="350">
        <f t="shared" si="1"/>
        <v>9162.3470895548817</v>
      </c>
      <c r="AI12" s="144">
        <f t="shared" si="2"/>
        <v>9162.3470895548817</v>
      </c>
      <c r="AJ12" s="356">
        <f>AJ7</f>
        <v>11712.075063393575</v>
      </c>
      <c r="AK12" s="356" t="s">
        <v>91</v>
      </c>
      <c r="AL12" s="153" t="s">
        <v>91</v>
      </c>
      <c r="AM12" s="45" t="s">
        <v>91</v>
      </c>
    </row>
    <row r="13" spans="1:39">
      <c r="A13" s="46">
        <v>7</v>
      </c>
      <c r="B13" s="360">
        <f t="shared" si="3"/>
        <v>1.7000000000000001E-2</v>
      </c>
      <c r="C13" s="191">
        <f>C12+(C12*D2)</f>
        <v>28207.174473098439</v>
      </c>
      <c r="D13" s="45">
        <f t="shared" si="4"/>
        <v>67104.926565239148</v>
      </c>
      <c r="E13" s="45">
        <f>-(C13+D13)*E2</f>
        <v>-2859.3630311501274</v>
      </c>
      <c r="F13" s="239">
        <v>0</v>
      </c>
      <c r="G13" s="239">
        <v>0</v>
      </c>
      <c r="H13" s="45">
        <f>H12+(H12*D2)</f>
        <v>441.69558055196165</v>
      </c>
      <c r="I13" s="146">
        <f t="shared" si="5"/>
        <v>92894.433587739419</v>
      </c>
      <c r="J13" s="45">
        <f t="shared" ref="J13:Q13" si="17">J7</f>
        <v>170725.62845735907</v>
      </c>
      <c r="K13" s="45">
        <f t="shared" si="17"/>
        <v>178518.66223515218</v>
      </c>
      <c r="L13" s="45">
        <f t="shared" si="17"/>
        <v>13724.600635057535</v>
      </c>
      <c r="M13" s="45">
        <f t="shared" si="17"/>
        <v>15409.856854444992</v>
      </c>
      <c r="N13" s="45">
        <f t="shared" si="17"/>
        <v>11102.842094065038</v>
      </c>
      <c r="O13" s="45">
        <f t="shared" si="17"/>
        <v>10786.899186439363</v>
      </c>
      <c r="P13" s="45">
        <f t="shared" si="17"/>
        <v>0</v>
      </c>
      <c r="Q13" s="45">
        <f t="shared" si="17"/>
        <v>0</v>
      </c>
      <c r="R13" s="146">
        <f t="shared" si="7"/>
        <v>195553.07118648165</v>
      </c>
      <c r="S13" s="145">
        <f t="shared" si="8"/>
        <v>204715.41827603654</v>
      </c>
      <c r="T13" s="146">
        <f t="shared" si="0"/>
        <v>9162.3470895548817</v>
      </c>
      <c r="U13" s="388">
        <v>3.5900000000000001E-2</v>
      </c>
      <c r="V13" s="356">
        <v>427335.43640989682</v>
      </c>
      <c r="W13" s="144">
        <f t="shared" si="11"/>
        <v>166528.4356623081</v>
      </c>
      <c r="X13" s="356">
        <f t="shared" si="9"/>
        <v>260807.00074758873</v>
      </c>
      <c r="Y13" s="356">
        <f t="shared" si="12"/>
        <v>4377868.0873389877</v>
      </c>
      <c r="Z13" s="324">
        <v>0</v>
      </c>
      <c r="AA13" s="327">
        <v>0</v>
      </c>
      <c r="AB13" s="221" t="s">
        <v>91</v>
      </c>
      <c r="AC13" s="146" t="s">
        <v>91</v>
      </c>
      <c r="AD13" s="346">
        <v>0</v>
      </c>
      <c r="AE13" s="221">
        <v>0</v>
      </c>
      <c r="AF13" s="221">
        <f t="shared" si="16"/>
        <v>0</v>
      </c>
      <c r="AG13" s="221">
        <v>0</v>
      </c>
      <c r="AH13" s="350">
        <f>T12</f>
        <v>9162.3470895548817</v>
      </c>
      <c r="AI13" s="144">
        <f t="shared" si="2"/>
        <v>9162.3470895548817</v>
      </c>
      <c r="AJ13" s="356">
        <f>AJ7</f>
        <v>11712.075063393575</v>
      </c>
      <c r="AK13" s="356" t="s">
        <v>91</v>
      </c>
      <c r="AL13" s="153" t="s">
        <v>91</v>
      </c>
      <c r="AM13" s="45" t="s">
        <v>91</v>
      </c>
    </row>
    <row r="14" spans="1:39">
      <c r="A14" s="46">
        <v>8</v>
      </c>
      <c r="B14" s="360">
        <f t="shared" si="3"/>
        <v>1.7000000000000001E-2</v>
      </c>
      <c r="C14" s="191">
        <f>C13+(C13*D2)</f>
        <v>28686.696439141113</v>
      </c>
      <c r="D14" s="45">
        <f t="shared" si="4"/>
        <v>67104.926565239148</v>
      </c>
      <c r="E14" s="45">
        <f>-(C14+D14)*E2</f>
        <v>-2873.7486901314078</v>
      </c>
      <c r="F14" s="239">
        <v>0</v>
      </c>
      <c r="G14" s="239">
        <v>0</v>
      </c>
      <c r="H14" s="45">
        <f>H13+(H13*D2)</f>
        <v>449.20440542134503</v>
      </c>
      <c r="I14" s="146">
        <f t="shared" si="5"/>
        <v>93367.0787196702</v>
      </c>
      <c r="J14" s="45">
        <f t="shared" ref="J14:Q14" si="18">J7</f>
        <v>170725.62845735907</v>
      </c>
      <c r="K14" s="45">
        <f t="shared" si="18"/>
        <v>178518.66223515218</v>
      </c>
      <c r="L14" s="45">
        <f t="shared" si="18"/>
        <v>13724.600635057535</v>
      </c>
      <c r="M14" s="45">
        <f t="shared" si="18"/>
        <v>15409.856854444992</v>
      </c>
      <c r="N14" s="45">
        <f t="shared" si="18"/>
        <v>11102.842094065038</v>
      </c>
      <c r="O14" s="45">
        <f t="shared" si="18"/>
        <v>10786.899186439363</v>
      </c>
      <c r="P14" s="45">
        <f t="shared" si="18"/>
        <v>0</v>
      </c>
      <c r="Q14" s="45">
        <f t="shared" si="18"/>
        <v>0</v>
      </c>
      <c r="R14" s="146">
        <f t="shared" si="7"/>
        <v>195553.07118648165</v>
      </c>
      <c r="S14" s="145">
        <f t="shared" si="8"/>
        <v>204715.41827603654</v>
      </c>
      <c r="T14" s="146">
        <f t="shared" si="0"/>
        <v>9162.3470895548817</v>
      </c>
      <c r="U14" s="388">
        <v>3.5900000000000001E-2</v>
      </c>
      <c r="V14" s="356">
        <v>427335.43640989682</v>
      </c>
      <c r="W14" s="144">
        <f t="shared" si="11"/>
        <v>157165.46433546967</v>
      </c>
      <c r="X14" s="356">
        <f t="shared" si="9"/>
        <v>270169.97207442718</v>
      </c>
      <c r="Y14" s="356">
        <f t="shared" si="12"/>
        <v>4107698.1152645606</v>
      </c>
      <c r="Z14" s="324">
        <v>0</v>
      </c>
      <c r="AA14" s="327">
        <v>0</v>
      </c>
      <c r="AB14" s="221" t="s">
        <v>91</v>
      </c>
      <c r="AC14" s="146" t="s">
        <v>91</v>
      </c>
      <c r="AD14" s="346">
        <v>0</v>
      </c>
      <c r="AE14" s="221">
        <v>0</v>
      </c>
      <c r="AF14" s="221">
        <f t="shared" si="16"/>
        <v>0</v>
      </c>
      <c r="AG14" s="221">
        <v>0</v>
      </c>
      <c r="AH14" s="350">
        <f>T14</f>
        <v>9162.3470895548817</v>
      </c>
      <c r="AI14" s="144">
        <f t="shared" si="2"/>
        <v>9162.3470895548817</v>
      </c>
      <c r="AJ14" s="356">
        <f>AJ7</f>
        <v>11712.075063393575</v>
      </c>
      <c r="AK14" s="356" t="s">
        <v>91</v>
      </c>
      <c r="AL14" s="153" t="s">
        <v>91</v>
      </c>
      <c r="AM14" s="45" t="s">
        <v>91</v>
      </c>
    </row>
    <row r="15" spans="1:39">
      <c r="A15" s="46">
        <v>9</v>
      </c>
      <c r="B15" s="360">
        <f t="shared" si="3"/>
        <v>1.7000000000000001E-2</v>
      </c>
      <c r="C15" s="191">
        <f>C14+(C14*D2)</f>
        <v>29174.370278606511</v>
      </c>
      <c r="D15" s="45">
        <f t="shared" si="4"/>
        <v>67104.926565239148</v>
      </c>
      <c r="E15" s="45">
        <f>-(C15+D15)*E2</f>
        <v>-2888.3789053153696</v>
      </c>
      <c r="F15" s="239">
        <v>0</v>
      </c>
      <c r="G15" s="239">
        <v>0</v>
      </c>
      <c r="H15" s="45">
        <f>H14+(H14*D2)</f>
        <v>456.84088031350791</v>
      </c>
      <c r="I15" s="146">
        <f t="shared" si="5"/>
        <v>93847.758818843795</v>
      </c>
      <c r="J15" s="45">
        <f t="shared" ref="J15:Q15" si="19">J7</f>
        <v>170725.62845735907</v>
      </c>
      <c r="K15" s="45">
        <f t="shared" si="19"/>
        <v>178518.66223515218</v>
      </c>
      <c r="L15" s="45">
        <f t="shared" si="19"/>
        <v>13724.600635057535</v>
      </c>
      <c r="M15" s="45">
        <f t="shared" si="19"/>
        <v>15409.856854444992</v>
      </c>
      <c r="N15" s="45">
        <f t="shared" si="19"/>
        <v>11102.842094065038</v>
      </c>
      <c r="O15" s="45">
        <f t="shared" si="19"/>
        <v>10786.899186439363</v>
      </c>
      <c r="P15" s="45">
        <f t="shared" si="19"/>
        <v>0</v>
      </c>
      <c r="Q15" s="45">
        <f t="shared" si="19"/>
        <v>0</v>
      </c>
      <c r="R15" s="146">
        <f t="shared" si="7"/>
        <v>195553.07118648165</v>
      </c>
      <c r="S15" s="145">
        <f t="shared" si="8"/>
        <v>204715.41827603654</v>
      </c>
      <c r="T15" s="146">
        <f t="shared" si="0"/>
        <v>9162.3470895548817</v>
      </c>
      <c r="U15" s="388">
        <v>3.5900000000000001E-2</v>
      </c>
      <c r="V15" s="356">
        <v>427335.43640989682</v>
      </c>
      <c r="W15" s="144">
        <f t="shared" si="11"/>
        <v>147466.36233799774</v>
      </c>
      <c r="X15" s="356">
        <f t="shared" si="9"/>
        <v>279869.07407189906</v>
      </c>
      <c r="Y15" s="356">
        <f t="shared" si="12"/>
        <v>3827829.0411926615</v>
      </c>
      <c r="Z15" s="324">
        <v>0</v>
      </c>
      <c r="AA15" s="327">
        <v>0</v>
      </c>
      <c r="AB15" s="221" t="s">
        <v>91</v>
      </c>
      <c r="AC15" s="146" t="s">
        <v>91</v>
      </c>
      <c r="AD15" s="346">
        <v>0</v>
      </c>
      <c r="AE15" s="221">
        <v>0</v>
      </c>
      <c r="AF15" s="221">
        <f t="shared" si="16"/>
        <v>0</v>
      </c>
      <c r="AG15" s="221">
        <v>0</v>
      </c>
      <c r="AH15" s="350">
        <f>T14</f>
        <v>9162.3470895548817</v>
      </c>
      <c r="AI15" s="144">
        <f t="shared" si="2"/>
        <v>9162.3470895548817</v>
      </c>
      <c r="AJ15" s="356">
        <f>AJ7</f>
        <v>11712.075063393575</v>
      </c>
      <c r="AK15" s="356" t="s">
        <v>91</v>
      </c>
      <c r="AL15" s="153" t="s">
        <v>91</v>
      </c>
      <c r="AM15" s="45" t="s">
        <v>91</v>
      </c>
    </row>
    <row r="16" spans="1:39">
      <c r="A16" s="46">
        <v>10</v>
      </c>
      <c r="B16" s="360">
        <f t="shared" si="3"/>
        <v>1.7000000000000001E-2</v>
      </c>
      <c r="C16" s="191">
        <f>C15+(C15*D2)</f>
        <v>29670.334573342821</v>
      </c>
      <c r="D16" s="45">
        <f t="shared" si="4"/>
        <v>67104.926565239148</v>
      </c>
      <c r="E16" s="45">
        <f>-(C16+D16)*E2</f>
        <v>-2903.2578341574585</v>
      </c>
      <c r="F16" s="239">
        <v>0</v>
      </c>
      <c r="G16" s="239">
        <v>0</v>
      </c>
      <c r="H16" s="45">
        <f>H15+(H15*D2)</f>
        <v>464.60717527883753</v>
      </c>
      <c r="I16" s="146">
        <f t="shared" si="5"/>
        <v>94336.610479703348</v>
      </c>
      <c r="J16" s="45">
        <f t="shared" ref="J16:Q16" si="20">J7</f>
        <v>170725.62845735907</v>
      </c>
      <c r="K16" s="45">
        <f t="shared" si="20"/>
        <v>178518.66223515218</v>
      </c>
      <c r="L16" s="45">
        <f t="shared" si="20"/>
        <v>13724.600635057535</v>
      </c>
      <c r="M16" s="45">
        <f t="shared" si="20"/>
        <v>15409.856854444992</v>
      </c>
      <c r="N16" s="45">
        <f t="shared" si="20"/>
        <v>11102.842094065038</v>
      </c>
      <c r="O16" s="45">
        <f t="shared" si="20"/>
        <v>10786.899186439363</v>
      </c>
      <c r="P16" s="45">
        <f t="shared" si="20"/>
        <v>0</v>
      </c>
      <c r="Q16" s="45">
        <f t="shared" si="20"/>
        <v>0</v>
      </c>
      <c r="R16" s="146">
        <f t="shared" si="7"/>
        <v>195553.07118648165</v>
      </c>
      <c r="S16" s="145">
        <f t="shared" si="8"/>
        <v>204715.41827603654</v>
      </c>
      <c r="T16" s="146">
        <f t="shared" si="0"/>
        <v>9162.3470895548817</v>
      </c>
      <c r="U16" s="388">
        <v>3.5900000000000001E-2</v>
      </c>
      <c r="V16" s="356">
        <v>427335.43640989682</v>
      </c>
      <c r="W16" s="144">
        <f t="shared" si="11"/>
        <v>137419.06257881655</v>
      </c>
      <c r="X16" s="356">
        <f t="shared" si="9"/>
        <v>289916.37383108027</v>
      </c>
      <c r="Y16" s="356">
        <f t="shared" si="12"/>
        <v>3537912.6673615812</v>
      </c>
      <c r="Z16" s="324">
        <v>0</v>
      </c>
      <c r="AA16" s="327">
        <v>0</v>
      </c>
      <c r="AB16" s="221" t="s">
        <v>91</v>
      </c>
      <c r="AC16" s="146" t="s">
        <v>91</v>
      </c>
      <c r="AD16" s="346">
        <v>0</v>
      </c>
      <c r="AE16" s="221">
        <v>0</v>
      </c>
      <c r="AF16" s="221">
        <f t="shared" si="16"/>
        <v>0</v>
      </c>
      <c r="AG16" s="221">
        <v>0</v>
      </c>
      <c r="AH16" s="350">
        <f t="shared" ref="AH16:AH26" si="21">T16</f>
        <v>9162.3470895548817</v>
      </c>
      <c r="AI16" s="144">
        <f t="shared" si="2"/>
        <v>9162.3470895548817</v>
      </c>
      <c r="AJ16" s="356">
        <f>AJ7</f>
        <v>11712.075063393575</v>
      </c>
      <c r="AK16" s="356" t="s">
        <v>91</v>
      </c>
      <c r="AL16" s="153" t="s">
        <v>91</v>
      </c>
      <c r="AM16" s="45" t="s">
        <v>91</v>
      </c>
    </row>
    <row r="17" spans="1:39">
      <c r="A17" s="46">
        <v>11</v>
      </c>
      <c r="B17" s="360">
        <f t="shared" si="3"/>
        <v>1.7000000000000001E-2</v>
      </c>
      <c r="C17" s="191">
        <f>C16+(C16*D2)</f>
        <v>30174.730261089648</v>
      </c>
      <c r="D17" s="45">
        <f t="shared" si="4"/>
        <v>67104.926565239148</v>
      </c>
      <c r="E17" s="45">
        <f>-(C17+D17)*E2</f>
        <v>-2918.3897047898636</v>
      </c>
      <c r="F17" s="239">
        <v>0</v>
      </c>
      <c r="G17" s="239">
        <v>0</v>
      </c>
      <c r="H17" s="45">
        <f>H16+(H16*D2)</f>
        <v>472.50549725857775</v>
      </c>
      <c r="I17" s="146">
        <f t="shared" si="5"/>
        <v>94833.772618797506</v>
      </c>
      <c r="J17" s="45">
        <f t="shared" ref="J17:Q17" si="22">J7</f>
        <v>170725.62845735907</v>
      </c>
      <c r="K17" s="45">
        <f t="shared" si="22"/>
        <v>178518.66223515218</v>
      </c>
      <c r="L17" s="45">
        <f t="shared" si="22"/>
        <v>13724.600635057535</v>
      </c>
      <c r="M17" s="45">
        <f t="shared" si="22"/>
        <v>15409.856854444992</v>
      </c>
      <c r="N17" s="45">
        <f t="shared" si="22"/>
        <v>11102.842094065038</v>
      </c>
      <c r="O17" s="45">
        <f t="shared" si="22"/>
        <v>10786.899186439363</v>
      </c>
      <c r="P17" s="45">
        <f t="shared" si="22"/>
        <v>0</v>
      </c>
      <c r="Q17" s="45">
        <f t="shared" si="22"/>
        <v>0</v>
      </c>
      <c r="R17" s="146">
        <f t="shared" si="7"/>
        <v>195553.07118648165</v>
      </c>
      <c r="S17" s="145">
        <f t="shared" si="8"/>
        <v>204715.41827603654</v>
      </c>
      <c r="T17" s="146">
        <f t="shared" si="0"/>
        <v>9162.3470895548817</v>
      </c>
      <c r="U17" s="388">
        <v>3.5900000000000001E-2</v>
      </c>
      <c r="V17" s="356">
        <v>427335.43640989682</v>
      </c>
      <c r="W17" s="144">
        <f t="shared" si="11"/>
        <v>127011.06475828077</v>
      </c>
      <c r="X17" s="356">
        <f t="shared" si="9"/>
        <v>300324.37165161606</v>
      </c>
      <c r="Y17" s="356">
        <f t="shared" si="12"/>
        <v>3237588.2957099653</v>
      </c>
      <c r="Z17" s="324">
        <v>0</v>
      </c>
      <c r="AA17" s="327">
        <v>0</v>
      </c>
      <c r="AB17" s="221" t="s">
        <v>91</v>
      </c>
      <c r="AC17" s="146" t="s">
        <v>77</v>
      </c>
      <c r="AD17" s="346">
        <v>0</v>
      </c>
      <c r="AE17" s="221">
        <v>0</v>
      </c>
      <c r="AF17" s="221">
        <f t="shared" si="16"/>
        <v>0</v>
      </c>
      <c r="AG17" s="221">
        <v>0</v>
      </c>
      <c r="AH17" s="350">
        <f t="shared" si="21"/>
        <v>9162.3470895548817</v>
      </c>
      <c r="AI17" s="144">
        <f t="shared" si="2"/>
        <v>9162.3470895548817</v>
      </c>
      <c r="AJ17" s="356">
        <f>AJ7</f>
        <v>11712.075063393575</v>
      </c>
      <c r="AK17" s="356" t="s">
        <v>91</v>
      </c>
      <c r="AL17" s="153" t="s">
        <v>91</v>
      </c>
      <c r="AM17" s="45" t="s">
        <v>91</v>
      </c>
    </row>
    <row r="18" spans="1:39">
      <c r="A18" s="46">
        <v>12</v>
      </c>
      <c r="B18" s="360">
        <f t="shared" si="3"/>
        <v>1.7000000000000001E-2</v>
      </c>
      <c r="C18" s="191">
        <f>C17+(C17*D2)</f>
        <v>30687.700675528173</v>
      </c>
      <c r="D18" s="45">
        <f t="shared" si="4"/>
        <v>67104.926565239148</v>
      </c>
      <c r="E18" s="45">
        <f>-(C18+D18)*E2</f>
        <v>-2933.7788172230198</v>
      </c>
      <c r="F18" s="239">
        <v>0</v>
      </c>
      <c r="G18" s="239">
        <v>0</v>
      </c>
      <c r="H18" s="45">
        <f>H17+(H17*D2)</f>
        <v>480.53809071197355</v>
      </c>
      <c r="I18" s="146">
        <f t="shared" si="5"/>
        <v>95339.386514256272</v>
      </c>
      <c r="J18" s="45">
        <f t="shared" ref="J18:Q18" si="23">J7</f>
        <v>170725.62845735907</v>
      </c>
      <c r="K18" s="45">
        <f t="shared" si="23"/>
        <v>178518.66223515218</v>
      </c>
      <c r="L18" s="45">
        <f t="shared" si="23"/>
        <v>13724.600635057535</v>
      </c>
      <c r="M18" s="45">
        <f t="shared" si="23"/>
        <v>15409.856854444992</v>
      </c>
      <c r="N18" s="45">
        <f t="shared" si="23"/>
        <v>11102.842094065038</v>
      </c>
      <c r="O18" s="45">
        <f t="shared" si="23"/>
        <v>10786.899186439363</v>
      </c>
      <c r="P18" s="45">
        <f t="shared" si="23"/>
        <v>0</v>
      </c>
      <c r="Q18" s="45">
        <f t="shared" si="23"/>
        <v>0</v>
      </c>
      <c r="R18" s="146">
        <f t="shared" si="7"/>
        <v>195553.07118648165</v>
      </c>
      <c r="S18" s="145">
        <f t="shared" si="8"/>
        <v>204715.41827603654</v>
      </c>
      <c r="T18" s="146">
        <f t="shared" si="0"/>
        <v>9162.3470895548817</v>
      </c>
      <c r="U18" s="388">
        <v>3.5900000000000001E-2</v>
      </c>
      <c r="V18" s="356">
        <v>427335.43640989682</v>
      </c>
      <c r="W18" s="144">
        <f t="shared" si="11"/>
        <v>116229.41981598776</v>
      </c>
      <c r="X18" s="356">
        <f t="shared" si="9"/>
        <v>311106.01659390907</v>
      </c>
      <c r="Y18" s="356">
        <f t="shared" si="12"/>
        <v>2926482.2791160564</v>
      </c>
      <c r="Z18" s="324">
        <v>0</v>
      </c>
      <c r="AA18" s="327">
        <v>0</v>
      </c>
      <c r="AB18" s="221" t="s">
        <v>91</v>
      </c>
      <c r="AC18" s="146" t="s">
        <v>91</v>
      </c>
      <c r="AD18" s="346">
        <v>0</v>
      </c>
      <c r="AE18" s="221">
        <v>0</v>
      </c>
      <c r="AF18" s="221">
        <f t="shared" si="16"/>
        <v>0</v>
      </c>
      <c r="AG18" s="221">
        <v>0</v>
      </c>
      <c r="AH18" s="350">
        <f t="shared" si="21"/>
        <v>9162.3470895548817</v>
      </c>
      <c r="AI18" s="144">
        <f t="shared" si="2"/>
        <v>9162.3470895548817</v>
      </c>
      <c r="AJ18" s="356">
        <f>AJ7</f>
        <v>11712.075063393575</v>
      </c>
      <c r="AK18" s="356" t="s">
        <v>91</v>
      </c>
      <c r="AL18" s="153" t="s">
        <v>91</v>
      </c>
      <c r="AM18" s="45" t="s">
        <v>91</v>
      </c>
    </row>
    <row r="19" spans="1:39">
      <c r="A19" s="46">
        <v>13</v>
      </c>
      <c r="B19" s="360">
        <f t="shared" si="3"/>
        <v>1.7000000000000001E-2</v>
      </c>
      <c r="C19" s="191">
        <f>C18+(C18*D2)</f>
        <v>31209.391587012153</v>
      </c>
      <c r="D19" s="45">
        <f t="shared" si="4"/>
        <v>67104.926565239148</v>
      </c>
      <c r="E19" s="45">
        <f>-(C19+D19)*E2</f>
        <v>-2949.4295445675389</v>
      </c>
      <c r="F19" s="239">
        <v>0</v>
      </c>
      <c r="G19" s="239">
        <v>0</v>
      </c>
      <c r="H19" s="45">
        <f>H18+(H18*D2)</f>
        <v>488.70723825407708</v>
      </c>
      <c r="I19" s="146">
        <f t="shared" si="5"/>
        <v>95853.595845937845</v>
      </c>
      <c r="J19" s="45">
        <f t="shared" ref="J19:Q19" si="24">J7</f>
        <v>170725.62845735907</v>
      </c>
      <c r="K19" s="45">
        <f t="shared" si="24"/>
        <v>178518.66223515218</v>
      </c>
      <c r="L19" s="45">
        <f t="shared" si="24"/>
        <v>13724.600635057535</v>
      </c>
      <c r="M19" s="45">
        <f t="shared" si="24"/>
        <v>15409.856854444992</v>
      </c>
      <c r="N19" s="45">
        <f t="shared" si="24"/>
        <v>11102.842094065038</v>
      </c>
      <c r="O19" s="45">
        <f t="shared" si="24"/>
        <v>10786.899186439363</v>
      </c>
      <c r="P19" s="45">
        <f t="shared" si="24"/>
        <v>0</v>
      </c>
      <c r="Q19" s="45">
        <f t="shared" si="24"/>
        <v>0</v>
      </c>
      <c r="R19" s="146">
        <f t="shared" si="7"/>
        <v>195553.07118648165</v>
      </c>
      <c r="S19" s="145">
        <f t="shared" si="8"/>
        <v>204715.41827603654</v>
      </c>
      <c r="T19" s="146">
        <f t="shared" si="0"/>
        <v>9162.3470895548817</v>
      </c>
      <c r="U19" s="388">
        <v>3.5900000000000001E-2</v>
      </c>
      <c r="V19" s="356">
        <v>427335.43640989682</v>
      </c>
      <c r="W19" s="144">
        <f t="shared" si="11"/>
        <v>105060.71382026644</v>
      </c>
      <c r="X19" s="356">
        <f t="shared" si="9"/>
        <v>322274.7225896304</v>
      </c>
      <c r="Y19" s="356">
        <f t="shared" si="12"/>
        <v>2604207.5565264262</v>
      </c>
      <c r="Z19" s="324">
        <v>0</v>
      </c>
      <c r="AA19" s="327">
        <v>0</v>
      </c>
      <c r="AB19" s="221" t="s">
        <v>91</v>
      </c>
      <c r="AC19" s="146" t="s">
        <v>91</v>
      </c>
      <c r="AD19" s="346">
        <v>0</v>
      </c>
      <c r="AE19" s="221">
        <v>0</v>
      </c>
      <c r="AF19" s="221">
        <f t="shared" si="16"/>
        <v>0</v>
      </c>
      <c r="AG19" s="221">
        <v>0</v>
      </c>
      <c r="AH19" s="350">
        <f t="shared" si="21"/>
        <v>9162.3470895548817</v>
      </c>
      <c r="AI19" s="144">
        <f t="shared" si="2"/>
        <v>9162.3470895548817</v>
      </c>
      <c r="AJ19" s="356">
        <f>AJ7</f>
        <v>11712.075063393575</v>
      </c>
      <c r="AK19" s="356" t="s">
        <v>77</v>
      </c>
      <c r="AL19" s="153" t="s">
        <v>91</v>
      </c>
      <c r="AM19" s="45" t="s">
        <v>91</v>
      </c>
    </row>
    <row r="20" spans="1:39">
      <c r="A20" s="46">
        <v>14</v>
      </c>
      <c r="B20" s="360">
        <f t="shared" si="3"/>
        <v>1.7000000000000001E-2</v>
      </c>
      <c r="C20" s="191">
        <f>C19+(C19*D2)</f>
        <v>31739.95124399136</v>
      </c>
      <c r="D20" s="45">
        <f t="shared" si="4"/>
        <v>67104.926565239148</v>
      </c>
      <c r="E20" s="45">
        <f>-(C20+D20)*E2</f>
        <v>-2965.3463342769151</v>
      </c>
      <c r="F20" s="239">
        <v>0</v>
      </c>
      <c r="G20" s="239">
        <v>0</v>
      </c>
      <c r="H20" s="45">
        <f>H19+(H19*D2)</f>
        <v>497.0152613043964</v>
      </c>
      <c r="I20" s="146">
        <f t="shared" si="5"/>
        <v>96376.54673625798</v>
      </c>
      <c r="J20" s="45">
        <f t="shared" ref="J20:Q20" si="25">J7</f>
        <v>170725.62845735907</v>
      </c>
      <c r="K20" s="45">
        <f t="shared" si="25"/>
        <v>178518.66223515218</v>
      </c>
      <c r="L20" s="45">
        <f t="shared" si="25"/>
        <v>13724.600635057535</v>
      </c>
      <c r="M20" s="45">
        <f t="shared" si="25"/>
        <v>15409.856854444992</v>
      </c>
      <c r="N20" s="45">
        <f t="shared" si="25"/>
        <v>11102.842094065038</v>
      </c>
      <c r="O20" s="45">
        <f t="shared" si="25"/>
        <v>10786.899186439363</v>
      </c>
      <c r="P20" s="45">
        <f t="shared" si="25"/>
        <v>0</v>
      </c>
      <c r="Q20" s="45">
        <f t="shared" si="25"/>
        <v>0</v>
      </c>
      <c r="R20" s="146">
        <f t="shared" si="7"/>
        <v>195553.07118648165</v>
      </c>
      <c r="S20" s="145">
        <f t="shared" si="8"/>
        <v>204715.41827603654</v>
      </c>
      <c r="T20" s="146">
        <f t="shared" si="0"/>
        <v>9162.3470895548817</v>
      </c>
      <c r="U20" s="388">
        <v>3.5900000000000001E-2</v>
      </c>
      <c r="V20" s="356">
        <v>427335.43640989682</v>
      </c>
      <c r="W20" s="144">
        <f t="shared" si="11"/>
        <v>93491.051279298699</v>
      </c>
      <c r="X20" s="356">
        <f t="shared" si="9"/>
        <v>333844.38513059809</v>
      </c>
      <c r="Y20" s="356">
        <f t="shared" si="12"/>
        <v>2270363.171395828</v>
      </c>
      <c r="Z20" s="324">
        <v>0</v>
      </c>
      <c r="AA20" s="327">
        <v>0</v>
      </c>
      <c r="AB20" s="221" t="s">
        <v>91</v>
      </c>
      <c r="AC20" s="146" t="s">
        <v>91</v>
      </c>
      <c r="AD20" s="346">
        <v>0</v>
      </c>
      <c r="AE20" s="221">
        <v>0</v>
      </c>
      <c r="AF20" s="221">
        <f t="shared" si="16"/>
        <v>0</v>
      </c>
      <c r="AG20" s="221">
        <v>0</v>
      </c>
      <c r="AH20" s="350">
        <f t="shared" si="21"/>
        <v>9162.3470895548817</v>
      </c>
      <c r="AI20" s="144">
        <f t="shared" si="2"/>
        <v>9162.3470895548817</v>
      </c>
      <c r="AJ20" s="356">
        <f>AJ7</f>
        <v>11712.075063393575</v>
      </c>
      <c r="AK20" s="356" t="s">
        <v>91</v>
      </c>
      <c r="AL20" s="153" t="s">
        <v>91</v>
      </c>
      <c r="AM20" s="45" t="s">
        <v>91</v>
      </c>
    </row>
    <row r="21" spans="1:39">
      <c r="A21" s="46">
        <v>15</v>
      </c>
      <c r="B21" s="360">
        <f t="shared" si="3"/>
        <v>1.7000000000000001E-2</v>
      </c>
      <c r="C21" s="191">
        <f>C20+(C20*D2)</f>
        <v>32279.530415139212</v>
      </c>
      <c r="D21" s="45">
        <f t="shared" si="4"/>
        <v>67104.926565239148</v>
      </c>
      <c r="E21" s="45">
        <f>-(C21+D21)*E2</f>
        <v>-2981.5337094113511</v>
      </c>
      <c r="F21" s="239">
        <v>0</v>
      </c>
      <c r="G21" s="239">
        <v>0</v>
      </c>
      <c r="H21" s="45">
        <f>H20+(H20*D2)</f>
        <v>505.46452074657117</v>
      </c>
      <c r="I21" s="146">
        <f t="shared" si="5"/>
        <v>96908.387791713583</v>
      </c>
      <c r="J21" s="45">
        <f t="shared" ref="J21:Q21" si="26">J7</f>
        <v>170725.62845735907</v>
      </c>
      <c r="K21" s="45">
        <f t="shared" si="26"/>
        <v>178518.66223515218</v>
      </c>
      <c r="L21" s="45">
        <f t="shared" si="26"/>
        <v>13724.600635057535</v>
      </c>
      <c r="M21" s="45">
        <f t="shared" si="26"/>
        <v>15409.856854444992</v>
      </c>
      <c r="N21" s="45">
        <f t="shared" si="26"/>
        <v>11102.842094065038</v>
      </c>
      <c r="O21" s="45">
        <f t="shared" si="26"/>
        <v>10786.899186439363</v>
      </c>
      <c r="P21" s="45">
        <f t="shared" si="26"/>
        <v>0</v>
      </c>
      <c r="Q21" s="45">
        <f t="shared" si="26"/>
        <v>0</v>
      </c>
      <c r="R21" s="146">
        <f t="shared" si="7"/>
        <v>195553.07118648165</v>
      </c>
      <c r="S21" s="145">
        <f t="shared" si="8"/>
        <v>204715.41827603654</v>
      </c>
      <c r="T21" s="146">
        <f t="shared" si="0"/>
        <v>9162.3470895548817</v>
      </c>
      <c r="U21" s="388">
        <v>3.5900000000000001E-2</v>
      </c>
      <c r="V21" s="356">
        <v>427335.43640989682</v>
      </c>
      <c r="W21" s="144">
        <f t="shared" si="11"/>
        <v>81506.037853110232</v>
      </c>
      <c r="X21" s="356">
        <f t="shared" si="9"/>
        <v>345829.39855678659</v>
      </c>
      <c r="Y21" s="356">
        <f t="shared" si="12"/>
        <v>1924533.7728390414</v>
      </c>
      <c r="Z21" s="324">
        <v>0</v>
      </c>
      <c r="AA21" s="327">
        <v>0</v>
      </c>
      <c r="AB21" s="221" t="s">
        <v>91</v>
      </c>
      <c r="AC21" s="146" t="s">
        <v>91</v>
      </c>
      <c r="AD21" s="346">
        <v>0</v>
      </c>
      <c r="AE21" s="221">
        <v>0</v>
      </c>
      <c r="AF21" s="221">
        <f t="shared" si="16"/>
        <v>0</v>
      </c>
      <c r="AG21" s="221">
        <v>0</v>
      </c>
      <c r="AH21" s="350">
        <f t="shared" si="21"/>
        <v>9162.3470895548817</v>
      </c>
      <c r="AI21" s="144">
        <f t="shared" si="2"/>
        <v>9162.3470895548817</v>
      </c>
      <c r="AJ21" s="356">
        <f>AJ7</f>
        <v>11712.075063393575</v>
      </c>
      <c r="AK21" s="356" t="s">
        <v>91</v>
      </c>
      <c r="AL21" s="153" t="s">
        <v>91</v>
      </c>
      <c r="AM21" s="45" t="s">
        <v>91</v>
      </c>
    </row>
    <row r="22" spans="1:39">
      <c r="A22" s="46">
        <v>16</v>
      </c>
      <c r="B22" s="360">
        <f t="shared" si="3"/>
        <v>1.7000000000000001E-2</v>
      </c>
      <c r="C22" s="191">
        <f>C21+(C21*D2)</f>
        <v>32828.282432196582</v>
      </c>
      <c r="D22" s="45">
        <v>0</v>
      </c>
      <c r="E22" s="45">
        <f>-(C22+D22)*E2</f>
        <v>-984.84847296589737</v>
      </c>
      <c r="F22" s="239">
        <v>0</v>
      </c>
      <c r="G22" s="239">
        <v>0</v>
      </c>
      <c r="H22" s="45">
        <f>H21+(H21*D2)</f>
        <v>514.05741759926286</v>
      </c>
      <c r="I22" s="146">
        <f t="shared" si="5"/>
        <v>32357.491376829948</v>
      </c>
      <c r="J22" s="45">
        <f>J7</f>
        <v>170725.62845735907</v>
      </c>
      <c r="K22" s="45">
        <f>K7</f>
        <v>178518.66223515218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f>Q7</f>
        <v>0</v>
      </c>
      <c r="R22" s="146">
        <f t="shared" si="7"/>
        <v>170725.62845735907</v>
      </c>
      <c r="S22" s="145">
        <f t="shared" si="8"/>
        <v>178518.66223515218</v>
      </c>
      <c r="T22" s="146">
        <f t="shared" si="0"/>
        <v>7793.0337777931127</v>
      </c>
      <c r="U22" s="388">
        <v>3.5900000000000001E-2</v>
      </c>
      <c r="V22" s="356">
        <v>427335.43640989682</v>
      </c>
      <c r="W22" s="144">
        <f t="shared" si="11"/>
        <v>69090.762444921595</v>
      </c>
      <c r="X22" s="356">
        <f t="shared" si="9"/>
        <v>358244.67396497523</v>
      </c>
      <c r="Y22" s="356">
        <f t="shared" si="12"/>
        <v>1566289.0988740663</v>
      </c>
      <c r="Z22" s="324">
        <v>0</v>
      </c>
      <c r="AA22" s="327">
        <v>0</v>
      </c>
      <c r="AB22" s="221" t="s">
        <v>91</v>
      </c>
      <c r="AC22" s="146" t="s">
        <v>91</v>
      </c>
      <c r="AD22" s="346">
        <v>0</v>
      </c>
      <c r="AE22" s="221">
        <v>0</v>
      </c>
      <c r="AF22" s="221">
        <f t="shared" si="16"/>
        <v>0</v>
      </c>
      <c r="AG22" s="221">
        <v>0</v>
      </c>
      <c r="AH22" s="350">
        <f t="shared" si="21"/>
        <v>7793.0337777931127</v>
      </c>
      <c r="AI22" s="144">
        <f t="shared" si="2"/>
        <v>7793.0337777931127</v>
      </c>
      <c r="AJ22" s="356">
        <f>AJ7</f>
        <v>11712.075063393575</v>
      </c>
      <c r="AK22" s="356" t="s">
        <v>91</v>
      </c>
      <c r="AL22" s="153" t="s">
        <v>91</v>
      </c>
      <c r="AM22" s="45" t="s">
        <v>91</v>
      </c>
    </row>
    <row r="23" spans="1:39">
      <c r="A23" s="46">
        <v>17</v>
      </c>
      <c r="B23" s="360">
        <f t="shared" si="3"/>
        <v>1.7000000000000001E-2</v>
      </c>
      <c r="C23" s="191">
        <f>C22+(C22*D2)</f>
        <v>33386.363233543925</v>
      </c>
      <c r="D23" s="45">
        <f t="shared" si="4"/>
        <v>0</v>
      </c>
      <c r="E23" s="45">
        <f>-(C23+D23)*E2</f>
        <v>-1001.5908970063177</v>
      </c>
      <c r="F23" s="239">
        <v>0</v>
      </c>
      <c r="G23" s="239">
        <v>0</v>
      </c>
      <c r="H23" s="45">
        <f>H22+(H22*D2)</f>
        <v>522.79639369845029</v>
      </c>
      <c r="I23" s="146">
        <f t="shared" si="5"/>
        <v>32907.56873023606</v>
      </c>
      <c r="J23" s="45">
        <f>J7</f>
        <v>170725.62845735907</v>
      </c>
      <c r="K23" s="45">
        <f>K7</f>
        <v>178518.66223515218</v>
      </c>
      <c r="L23" s="45">
        <v>0</v>
      </c>
      <c r="M23" s="45">
        <f>M22</f>
        <v>0</v>
      </c>
      <c r="N23" s="45">
        <v>0</v>
      </c>
      <c r="O23" s="45">
        <f>O22</f>
        <v>0</v>
      </c>
      <c r="P23" s="45">
        <v>0</v>
      </c>
      <c r="Q23" s="45">
        <f>Q7</f>
        <v>0</v>
      </c>
      <c r="R23" s="146">
        <f t="shared" si="7"/>
        <v>170725.62845735907</v>
      </c>
      <c r="S23" s="145">
        <f t="shared" si="8"/>
        <v>178518.66223515218</v>
      </c>
      <c r="T23" s="146">
        <f t="shared" si="0"/>
        <v>7793.0337777931127</v>
      </c>
      <c r="U23" s="388">
        <v>3.5900000000000001E-2</v>
      </c>
      <c r="V23" s="356">
        <v>427335.43640989682</v>
      </c>
      <c r="W23" s="144">
        <f t="shared" si="11"/>
        <v>56229.778649578984</v>
      </c>
      <c r="X23" s="356">
        <f t="shared" si="9"/>
        <v>371105.65776031784</v>
      </c>
      <c r="Y23" s="356">
        <f t="shared" si="12"/>
        <v>1195183.4411137484</v>
      </c>
      <c r="Z23" s="324">
        <v>0</v>
      </c>
      <c r="AA23" s="327">
        <v>0</v>
      </c>
      <c r="AB23" s="221" t="s">
        <v>91</v>
      </c>
      <c r="AC23" s="146" t="s">
        <v>91</v>
      </c>
      <c r="AD23" s="346">
        <v>0</v>
      </c>
      <c r="AE23" s="221">
        <v>0</v>
      </c>
      <c r="AF23" s="221">
        <f t="shared" si="16"/>
        <v>0</v>
      </c>
      <c r="AG23" s="221">
        <v>0</v>
      </c>
      <c r="AH23" s="350">
        <f t="shared" si="21"/>
        <v>7793.0337777931127</v>
      </c>
      <c r="AI23" s="144">
        <f t="shared" si="2"/>
        <v>7793.0337777931127</v>
      </c>
      <c r="AJ23" s="356">
        <f>AJ7</f>
        <v>11712.075063393575</v>
      </c>
      <c r="AK23" s="356" t="s">
        <v>91</v>
      </c>
      <c r="AL23" s="153" t="s">
        <v>91</v>
      </c>
      <c r="AM23" s="45" t="s">
        <v>91</v>
      </c>
    </row>
    <row r="24" spans="1:39">
      <c r="A24" s="46">
        <v>18</v>
      </c>
      <c r="B24" s="360">
        <f t="shared" si="3"/>
        <v>1.7000000000000001E-2</v>
      </c>
      <c r="C24" s="191">
        <f>C23+(C23*D2)</f>
        <v>33953.931408514174</v>
      </c>
      <c r="D24" s="45">
        <f t="shared" si="4"/>
        <v>0</v>
      </c>
      <c r="E24" s="45">
        <f>-(C24+D24)*E2</f>
        <v>-1018.6179422554252</v>
      </c>
      <c r="F24" s="239">
        <v>0</v>
      </c>
      <c r="G24" s="239">
        <v>0</v>
      </c>
      <c r="H24" s="45">
        <f>H23+(H23*D2)</f>
        <v>531.68393239132399</v>
      </c>
      <c r="I24" s="146">
        <f t="shared" si="5"/>
        <v>33466.99739865007</v>
      </c>
      <c r="J24" s="45">
        <f>J7</f>
        <v>170725.62845735907</v>
      </c>
      <c r="K24" s="45">
        <f>K7</f>
        <v>178518.66223515218</v>
      </c>
      <c r="L24" s="45">
        <v>0</v>
      </c>
      <c r="M24" s="45">
        <f>M22</f>
        <v>0</v>
      </c>
      <c r="N24" s="45">
        <v>0</v>
      </c>
      <c r="O24" s="45">
        <f>O22</f>
        <v>0</v>
      </c>
      <c r="P24" s="45">
        <v>0</v>
      </c>
      <c r="Q24" s="45">
        <f>Q7</f>
        <v>0</v>
      </c>
      <c r="R24" s="146">
        <f t="shared" si="7"/>
        <v>170725.62845735907</v>
      </c>
      <c r="S24" s="145">
        <f t="shared" si="8"/>
        <v>178518.66223515218</v>
      </c>
      <c r="T24" s="146">
        <f t="shared" si="0"/>
        <v>7793.0337777931127</v>
      </c>
      <c r="U24" s="388">
        <v>3.5900000000000001E-2</v>
      </c>
      <c r="V24" s="356">
        <v>427335.43640989682</v>
      </c>
      <c r="W24" s="144">
        <f t="shared" si="11"/>
        <v>42907.08553598357</v>
      </c>
      <c r="X24" s="356">
        <f t="shared" si="9"/>
        <v>384428.35087391327</v>
      </c>
      <c r="Y24" s="356">
        <f t="shared" si="12"/>
        <v>810755.09023983509</v>
      </c>
      <c r="Z24" s="324">
        <v>0</v>
      </c>
      <c r="AA24" s="327">
        <v>0</v>
      </c>
      <c r="AB24" s="221" t="s">
        <v>91</v>
      </c>
      <c r="AC24" s="146" t="s">
        <v>91</v>
      </c>
      <c r="AD24" s="346">
        <v>0</v>
      </c>
      <c r="AE24" s="221">
        <v>0</v>
      </c>
      <c r="AF24" s="221">
        <f t="shared" si="16"/>
        <v>0</v>
      </c>
      <c r="AG24" s="221">
        <v>0</v>
      </c>
      <c r="AH24" s="350">
        <f t="shared" si="21"/>
        <v>7793.0337777931127</v>
      </c>
      <c r="AI24" s="144">
        <f t="shared" si="2"/>
        <v>7793.0337777931127</v>
      </c>
      <c r="AJ24" s="356">
        <f>AJ7</f>
        <v>11712.075063393575</v>
      </c>
      <c r="AK24" s="356" t="s">
        <v>91</v>
      </c>
      <c r="AL24" s="153" t="s">
        <v>91</v>
      </c>
      <c r="AM24" s="45" t="s">
        <v>91</v>
      </c>
    </row>
    <row r="25" spans="1:39">
      <c r="A25" s="46">
        <v>19</v>
      </c>
      <c r="B25" s="360">
        <f t="shared" si="3"/>
        <v>1.7000000000000001E-2</v>
      </c>
      <c r="C25" s="191">
        <f>C24+(C24*D2)</f>
        <v>34531.148242458912</v>
      </c>
      <c r="D25" s="45">
        <f t="shared" si="4"/>
        <v>0</v>
      </c>
      <c r="E25" s="45">
        <f>-(C25+D25)*E2</f>
        <v>-1035.9344472737673</v>
      </c>
      <c r="F25" s="239">
        <v>0</v>
      </c>
      <c r="G25" s="239">
        <v>0</v>
      </c>
      <c r="H25" s="45">
        <f>H24+(H24*D2)</f>
        <v>540.72255924197646</v>
      </c>
      <c r="I25" s="146">
        <f t="shared" si="5"/>
        <v>34035.936354427125</v>
      </c>
      <c r="J25" s="45">
        <f>J7</f>
        <v>170725.62845735907</v>
      </c>
      <c r="K25" s="45">
        <f>K7</f>
        <v>178518.66223515218</v>
      </c>
      <c r="L25" s="45">
        <v>0</v>
      </c>
      <c r="M25" s="45">
        <f>M22</f>
        <v>0</v>
      </c>
      <c r="N25" s="45">
        <v>0</v>
      </c>
      <c r="O25" s="45">
        <f>O22</f>
        <v>0</v>
      </c>
      <c r="P25" s="45">
        <v>0</v>
      </c>
      <c r="Q25" s="45">
        <f>Q7</f>
        <v>0</v>
      </c>
      <c r="R25" s="146">
        <f t="shared" si="7"/>
        <v>170725.62845735907</v>
      </c>
      <c r="S25" s="145">
        <f t="shared" si="8"/>
        <v>178518.66223515218</v>
      </c>
      <c r="T25" s="146">
        <f t="shared" si="0"/>
        <v>7793.0337777931127</v>
      </c>
      <c r="U25" s="388">
        <v>3.5900000000000001E-2</v>
      </c>
      <c r="V25" s="356">
        <v>427335.43640989682</v>
      </c>
      <c r="W25" s="144">
        <f t="shared" si="11"/>
        <v>29106.107739610081</v>
      </c>
      <c r="X25" s="356">
        <f t="shared" si="9"/>
        <v>398229.32867028675</v>
      </c>
      <c r="Y25" s="356">
        <f t="shared" si="12"/>
        <v>412525.76156954834</v>
      </c>
      <c r="Z25" s="324">
        <v>0</v>
      </c>
      <c r="AA25" s="327">
        <v>0</v>
      </c>
      <c r="AB25" s="221" t="s">
        <v>91</v>
      </c>
      <c r="AC25" s="146" t="s">
        <v>91</v>
      </c>
      <c r="AD25" s="346">
        <v>0</v>
      </c>
      <c r="AE25" s="221">
        <v>0</v>
      </c>
      <c r="AF25" s="221">
        <f t="shared" si="16"/>
        <v>0</v>
      </c>
      <c r="AG25" s="221">
        <v>0</v>
      </c>
      <c r="AH25" s="350">
        <f t="shared" si="21"/>
        <v>7793.0337777931127</v>
      </c>
      <c r="AI25" s="144">
        <f t="shared" si="2"/>
        <v>7793.0337777931127</v>
      </c>
      <c r="AJ25" s="356">
        <f>AJ7</f>
        <v>11712.075063393575</v>
      </c>
      <c r="AK25" s="356" t="s">
        <v>91</v>
      </c>
      <c r="AL25" s="153" t="s">
        <v>91</v>
      </c>
      <c r="AM25" s="45" t="s">
        <v>91</v>
      </c>
    </row>
    <row r="26" spans="1:39" ht="13.8" thickBot="1">
      <c r="A26" s="46">
        <v>20</v>
      </c>
      <c r="B26" s="360">
        <f t="shared" si="3"/>
        <v>1.7000000000000001E-2</v>
      </c>
      <c r="C26" s="192">
        <f>C25+(C25*D2)</f>
        <v>35118.177762580715</v>
      </c>
      <c r="D26" s="45">
        <f t="shared" si="4"/>
        <v>0</v>
      </c>
      <c r="E26" s="45">
        <f>-(C26+D26)*E2</f>
        <v>-1053.5453328774215</v>
      </c>
      <c r="F26" s="239">
        <v>0</v>
      </c>
      <c r="G26" s="239">
        <v>0</v>
      </c>
      <c r="H26" s="45">
        <f>H25+(H25*D2)</f>
        <v>549.9148427490901</v>
      </c>
      <c r="I26" s="146">
        <f t="shared" si="5"/>
        <v>34614.547272452379</v>
      </c>
      <c r="J26" s="45">
        <f>J7</f>
        <v>170725.62845735907</v>
      </c>
      <c r="K26" s="45">
        <f>K7</f>
        <v>178518.66223515218</v>
      </c>
      <c r="L26" s="45">
        <v>0</v>
      </c>
      <c r="M26" s="45">
        <f>M22</f>
        <v>0</v>
      </c>
      <c r="N26" s="45">
        <v>0</v>
      </c>
      <c r="O26" s="45">
        <f>O22</f>
        <v>0</v>
      </c>
      <c r="P26" s="45">
        <v>0</v>
      </c>
      <c r="Q26" s="45">
        <f>Q7</f>
        <v>0</v>
      </c>
      <c r="R26" s="146">
        <f t="shared" si="7"/>
        <v>170725.62845735907</v>
      </c>
      <c r="S26" s="145">
        <f t="shared" si="8"/>
        <v>178518.66223515218</v>
      </c>
      <c r="T26" s="146">
        <f t="shared" si="0"/>
        <v>7793.0337777931127</v>
      </c>
      <c r="U26" s="388">
        <v>3.5900000000000001E-2</v>
      </c>
      <c r="V26" s="356">
        <v>427335.43640989682</v>
      </c>
      <c r="W26" s="144">
        <f t="shared" si="11"/>
        <v>14809.674840346786</v>
      </c>
      <c r="X26" s="356">
        <f t="shared" si="9"/>
        <v>412525.76156955003</v>
      </c>
      <c r="Y26" s="356">
        <f t="shared" si="12"/>
        <v>-1.6880221664905548E-9</v>
      </c>
      <c r="Z26" s="325">
        <v>0</v>
      </c>
      <c r="AA26" s="328">
        <v>0</v>
      </c>
      <c r="AB26" s="221" t="s">
        <v>91</v>
      </c>
      <c r="AC26" s="146" t="s">
        <v>91</v>
      </c>
      <c r="AD26" s="346">
        <v>0</v>
      </c>
      <c r="AE26" s="221">
        <v>0</v>
      </c>
      <c r="AF26" s="221">
        <f t="shared" si="16"/>
        <v>0</v>
      </c>
      <c r="AG26" s="221">
        <v>0</v>
      </c>
      <c r="AH26" s="350">
        <f t="shared" si="21"/>
        <v>7793.0337777931127</v>
      </c>
      <c r="AI26" s="377">
        <f t="shared" si="2"/>
        <v>7793.0337777931127</v>
      </c>
      <c r="AJ26" s="379">
        <f>AJ7</f>
        <v>11712.075063393575</v>
      </c>
      <c r="AK26" s="380" t="s">
        <v>91</v>
      </c>
      <c r="AL26" s="379" t="s">
        <v>91</v>
      </c>
      <c r="AM26" s="45" t="s">
        <v>91</v>
      </c>
    </row>
    <row r="27" spans="1:39" ht="13.8" thickBot="1">
      <c r="A27" s="219" t="s">
        <v>132</v>
      </c>
      <c r="B27" s="219"/>
      <c r="C27" s="334">
        <f t="shared" ref="C27:N27" si="27">SUM(C7:C26)</f>
        <v>601260.48788292881</v>
      </c>
      <c r="D27" s="332">
        <f t="shared" si="27"/>
        <v>1006573.8984785876</v>
      </c>
      <c r="E27" s="332">
        <f t="shared" si="27"/>
        <v>-48235.031590845472</v>
      </c>
      <c r="F27" s="335">
        <f>SUM(F7:F26)</f>
        <v>79841.25079715118</v>
      </c>
      <c r="G27" s="335">
        <f>SUM(G7:G26)</f>
        <v>-51098.400510176754</v>
      </c>
      <c r="H27" s="332">
        <f>SUM(H7:H26)</f>
        <v>9415.1259464746308</v>
      </c>
      <c r="I27" s="358">
        <f t="shared" si="27"/>
        <v>1597757.3310041197</v>
      </c>
      <c r="J27" s="332">
        <f t="shared" si="27"/>
        <v>3414512.5691471812</v>
      </c>
      <c r="K27" s="332">
        <f>SUM(K7:K26)</f>
        <v>3570373.2447030419</v>
      </c>
      <c r="L27" s="332">
        <f t="shared" si="27"/>
        <v>205869.0095258631</v>
      </c>
      <c r="M27" s="332">
        <f>SUM(M7:M26)</f>
        <v>231147.85281667483</v>
      </c>
      <c r="N27" s="332">
        <f t="shared" si="27"/>
        <v>166542.63141097556</v>
      </c>
      <c r="O27" s="332">
        <f>SUM(O7:O26)</f>
        <v>161803.48779659046</v>
      </c>
      <c r="P27" s="332">
        <f>SUM(P7:P26)</f>
        <v>0</v>
      </c>
      <c r="Q27" s="333">
        <f>SUM(Q7:Q26)</f>
        <v>0</v>
      </c>
      <c r="R27" s="143">
        <f>SUM(R7:R26)</f>
        <v>3786924.2100840197</v>
      </c>
      <c r="S27" s="147">
        <f>SUM(S7:S26)</f>
        <v>3963324.5853163088</v>
      </c>
      <c r="T27" s="143">
        <f>S27-R27</f>
        <v>176400.37523228908</v>
      </c>
      <c r="U27" s="143"/>
      <c r="V27" s="143">
        <f>SUM(V7:V26)</f>
        <v>8546708.7281979397</v>
      </c>
      <c r="W27" s="143">
        <f>SUM(W7:W26)</f>
        <v>2522408.7681979351</v>
      </c>
      <c r="X27" s="143">
        <f>SUM(X7:X26)</f>
        <v>6024299.9600000018</v>
      </c>
      <c r="Y27" s="143"/>
      <c r="Z27" s="322">
        <f>SUM(Z7:Z26)</f>
        <v>120485.99920000003</v>
      </c>
      <c r="AA27" s="276">
        <f>SUM(AA7:AA26)</f>
        <v>6202642.6799999997</v>
      </c>
      <c r="AB27" s="274">
        <f>W27+Z27+AA27</f>
        <v>8845537.4473979343</v>
      </c>
      <c r="AC27" s="274">
        <f>AB27-I27</f>
        <v>7247780.1163938148</v>
      </c>
      <c r="AD27" s="275">
        <f ca="1">'Test de compensation'!C161</f>
        <v>3207862.04</v>
      </c>
      <c r="AE27" s="276">
        <f ca="1">'Test de compensation'!C163</f>
        <v>0</v>
      </c>
      <c r="AF27" s="276">
        <f>SUM(AF7:AF26)</f>
        <v>1550660.67</v>
      </c>
      <c r="AG27" s="276">
        <f>SUM(AG7:AG26)</f>
        <v>56328.758399999999</v>
      </c>
      <c r="AH27" s="277">
        <f>SUM(AH7:AH26)</f>
        <v>176400.37523228879</v>
      </c>
      <c r="AI27" s="376">
        <f t="shared" si="2"/>
        <v>4991251.8436322883</v>
      </c>
      <c r="AJ27" s="274">
        <f>SUM(AJ7:AJ26)</f>
        <v>234241.50126787141</v>
      </c>
      <c r="AK27" s="376">
        <f>AC27+AJ27</f>
        <v>7482021.6176616866</v>
      </c>
      <c r="AL27" s="274">
        <f>AK27-AI27</f>
        <v>2490769.7740293983</v>
      </c>
      <c r="AM27" s="1"/>
    </row>
    <row r="28" spans="1:39" ht="13.8" thickBot="1">
      <c r="A28" s="59" t="s">
        <v>91</v>
      </c>
      <c r="B28" s="59"/>
      <c r="C28" s="59"/>
      <c r="D28" s="59"/>
      <c r="E28" s="59"/>
      <c r="F28" s="239"/>
      <c r="G28" s="239"/>
      <c r="H28" s="59"/>
      <c r="I28" s="102" t="s">
        <v>91</v>
      </c>
      <c r="J28" s="59"/>
      <c r="K28" s="59"/>
      <c r="L28" s="59"/>
      <c r="M28" s="59"/>
      <c r="N28" s="59"/>
      <c r="O28" s="59"/>
      <c r="P28" s="499" t="s">
        <v>156</v>
      </c>
      <c r="Q28" s="500"/>
      <c r="R28" s="143">
        <f ca="1">R27-'Test de compensation'!D115</f>
        <v>970486.29008401977</v>
      </c>
      <c r="S28" s="143">
        <f ca="1">S27-'Test de compensation'!D115</f>
        <v>1146886.6653163088</v>
      </c>
      <c r="T28" s="143">
        <f>S28-R28</f>
        <v>176400.37523228908</v>
      </c>
      <c r="U28" s="102"/>
      <c r="V28" s="102"/>
      <c r="W28" s="102"/>
      <c r="X28" s="102"/>
      <c r="Y28" s="102"/>
      <c r="Z28" s="102"/>
      <c r="AA28" s="102"/>
      <c r="AB28" s="340" t="s">
        <v>91</v>
      </c>
      <c r="AC28" s="182"/>
      <c r="AD28" s="182"/>
      <c r="AE28" s="182"/>
      <c r="AF28" s="496" t="s">
        <v>429</v>
      </c>
      <c r="AG28" s="497"/>
      <c r="AH28" s="498"/>
      <c r="AI28" s="351">
        <f>AI27/P3*10%</f>
        <v>24956.259218161445</v>
      </c>
      <c r="AJ28" s="45" t="s">
        <v>91</v>
      </c>
      <c r="AK28" s="45" t="s">
        <v>91</v>
      </c>
      <c r="AL28" s="244" t="s">
        <v>91</v>
      </c>
    </row>
    <row r="29" spans="1:39">
      <c r="A29" s="59" t="s">
        <v>91</v>
      </c>
      <c r="B29" s="59"/>
      <c r="C29" s="59"/>
      <c r="D29" s="59"/>
      <c r="E29" s="59"/>
      <c r="F29" s="239"/>
      <c r="G29" s="239"/>
      <c r="H29" s="59"/>
      <c r="I29" s="501" t="s">
        <v>371</v>
      </c>
      <c r="J29" s="502"/>
      <c r="K29" s="59">
        <f>K27-J27</f>
        <v>155860.67555586062</v>
      </c>
      <c r="L29" s="59"/>
      <c r="M29" s="59">
        <f>M27-L27</f>
        <v>25278.843290811725</v>
      </c>
      <c r="N29" s="59"/>
      <c r="O29" s="59">
        <f>O27-N27</f>
        <v>-4739.1436143851024</v>
      </c>
      <c r="P29" s="59"/>
      <c r="Q29" s="59">
        <f>Q27-P27</f>
        <v>0</v>
      </c>
      <c r="R29" s="102"/>
      <c r="S29" s="396">
        <f>K29+M29+O29+Q29</f>
        <v>176400.37523228725</v>
      </c>
      <c r="T29" s="59" t="s">
        <v>91</v>
      </c>
      <c r="U29" s="59"/>
      <c r="V29" s="59"/>
      <c r="W29" s="59"/>
      <c r="X29" s="59"/>
      <c r="Y29" s="59"/>
      <c r="Z29" s="179"/>
      <c r="AA29" s="179"/>
      <c r="AB29" s="179"/>
      <c r="AC29" s="179"/>
      <c r="AD29" s="179"/>
      <c r="AE29" s="179"/>
      <c r="AF29" s="179"/>
      <c r="AG29" s="179"/>
      <c r="AH29" s="179"/>
      <c r="AI29" s="45" t="s">
        <v>91</v>
      </c>
      <c r="AK29" s="222" t="s">
        <v>91</v>
      </c>
      <c r="AL29" s="390" t="s">
        <v>91</v>
      </c>
    </row>
    <row r="30" spans="1:39">
      <c r="A30" s="59"/>
      <c r="B30" s="59"/>
      <c r="C30" s="59"/>
      <c r="D30" s="59"/>
      <c r="E30" s="59"/>
      <c r="F30" s="239"/>
      <c r="G30" s="239"/>
      <c r="H30" s="59"/>
      <c r="I30" s="373"/>
      <c r="J30" s="374"/>
      <c r="K30" s="59"/>
      <c r="L30" s="59"/>
      <c r="M30" s="59"/>
      <c r="N30" s="59"/>
      <c r="O30" s="59"/>
      <c r="P30" s="59"/>
      <c r="Q30" s="59"/>
      <c r="R30" s="102"/>
      <c r="S30" s="239"/>
      <c r="T30" s="59"/>
      <c r="U30" s="59"/>
      <c r="V30" s="59"/>
      <c r="W30" s="59"/>
      <c r="X30" s="59"/>
      <c r="Y30" s="59"/>
      <c r="Z30" s="179"/>
      <c r="AA30" s="179"/>
      <c r="AB30" s="179"/>
      <c r="AC30" s="179"/>
      <c r="AD30" s="179"/>
      <c r="AE30" s="179"/>
      <c r="AF30" s="179"/>
      <c r="AG30" s="179"/>
      <c r="AH30" s="179"/>
      <c r="AI30" s="45"/>
      <c r="AK30" s="222"/>
      <c r="AL30" s="390"/>
    </row>
    <row r="31" spans="1:39" ht="13.8" thickBot="1">
      <c r="A31" s="102" t="s">
        <v>51</v>
      </c>
      <c r="B31" s="453"/>
      <c r="C31" s="417" t="s">
        <v>425</v>
      </c>
      <c r="D31" s="418"/>
      <c r="E31" s="418"/>
      <c r="F31" s="419"/>
      <c r="G31" s="419"/>
      <c r="H31" s="418"/>
      <c r="I31" s="454"/>
      <c r="J31" s="420" t="s">
        <v>13</v>
      </c>
      <c r="K31" s="418"/>
      <c r="L31" s="418"/>
      <c r="M31" s="418"/>
      <c r="N31" s="418"/>
      <c r="O31" s="418"/>
      <c r="P31" s="418"/>
      <c r="Q31" s="418"/>
      <c r="R31" s="417"/>
      <c r="S31" s="419"/>
      <c r="T31" s="418"/>
      <c r="U31" s="418"/>
      <c r="V31" s="418"/>
      <c r="W31" s="418"/>
      <c r="X31" s="418"/>
      <c r="Y31" s="418"/>
      <c r="Z31" s="280"/>
      <c r="AA31" s="280"/>
      <c r="AB31" s="179"/>
      <c r="AC31" s="455"/>
      <c r="AD31" s="421" t="s">
        <v>11</v>
      </c>
      <c r="AE31" s="280"/>
      <c r="AF31" s="280"/>
      <c r="AG31" s="280"/>
      <c r="AH31" s="280"/>
      <c r="AI31" s="453"/>
      <c r="AJ31" s="421" t="s">
        <v>240</v>
      </c>
      <c r="AK31" s="422"/>
      <c r="AL31" s="423"/>
    </row>
    <row r="32" spans="1:39">
      <c r="A32" s="409" t="s">
        <v>91</v>
      </c>
      <c r="B32" s="409"/>
      <c r="C32" s="409" t="s">
        <v>405</v>
      </c>
      <c r="D32" s="409" t="s">
        <v>91</v>
      </c>
      <c r="E32" s="409"/>
      <c r="F32" s="409"/>
      <c r="G32" s="409" t="s">
        <v>91</v>
      </c>
      <c r="H32" s="438"/>
      <c r="I32" s="410"/>
      <c r="J32" s="424" t="s">
        <v>405</v>
      </c>
      <c r="K32" s="409" t="s">
        <v>91</v>
      </c>
      <c r="L32" s="409"/>
      <c r="M32" s="409"/>
      <c r="N32" s="409"/>
      <c r="O32" s="409" t="s">
        <v>91</v>
      </c>
      <c r="P32" s="409"/>
      <c r="Q32" s="409"/>
      <c r="R32" s="411"/>
      <c r="S32" s="412"/>
      <c r="T32" s="412"/>
      <c r="U32" s="412" t="s">
        <v>91</v>
      </c>
      <c r="V32" s="412"/>
      <c r="W32" s="412"/>
      <c r="X32" s="412"/>
      <c r="Y32" s="412" t="s">
        <v>91</v>
      </c>
      <c r="Z32" s="413"/>
      <c r="AA32" s="433"/>
      <c r="AB32" s="413"/>
      <c r="AC32" s="413"/>
      <c r="AD32" s="413" t="s">
        <v>405</v>
      </c>
      <c r="AE32" s="413"/>
      <c r="AF32" s="413"/>
      <c r="AG32" s="413"/>
      <c r="AH32" s="433"/>
      <c r="AI32" s="436"/>
      <c r="AJ32" s="437" t="s">
        <v>405</v>
      </c>
      <c r="AK32" s="9" t="s">
        <v>91</v>
      </c>
      <c r="AL32" s="438"/>
    </row>
    <row r="33" spans="1:38" ht="42" thickBot="1">
      <c r="A33" s="414" t="s">
        <v>91</v>
      </c>
      <c r="B33" s="414"/>
      <c r="C33" s="330" t="s">
        <v>153</v>
      </c>
      <c r="D33" s="330" t="s">
        <v>0</v>
      </c>
      <c r="E33" s="330" t="s">
        <v>12</v>
      </c>
      <c r="F33" s="331" t="s">
        <v>198</v>
      </c>
      <c r="G33" s="331" t="s">
        <v>275</v>
      </c>
      <c r="H33" s="440" t="s">
        <v>274</v>
      </c>
      <c r="I33" s="445" t="s">
        <v>167</v>
      </c>
      <c r="J33" s="59" t="s">
        <v>52</v>
      </c>
      <c r="K33" s="59"/>
      <c r="L33" s="59"/>
      <c r="M33" s="59"/>
      <c r="N33" s="59"/>
      <c r="O33" s="59"/>
      <c r="P33" s="59"/>
      <c r="Q33" s="59"/>
      <c r="R33" s="337" t="s">
        <v>426</v>
      </c>
      <c r="S33" s="425" t="s">
        <v>427</v>
      </c>
      <c r="T33" s="439" t="s">
        <v>428</v>
      </c>
      <c r="U33" s="385"/>
      <c r="V33" s="385"/>
      <c r="W33" s="330" t="s">
        <v>372</v>
      </c>
      <c r="X33" s="385"/>
      <c r="Y33" s="385"/>
      <c r="Z33" s="329" t="s">
        <v>53</v>
      </c>
      <c r="AA33" s="435" t="s">
        <v>54</v>
      </c>
      <c r="AB33" s="447" t="s">
        <v>170</v>
      </c>
      <c r="AC33" s="448" t="s">
        <v>373</v>
      </c>
      <c r="AD33" s="329" t="s">
        <v>412</v>
      </c>
      <c r="AE33" s="329" t="s">
        <v>14</v>
      </c>
      <c r="AF33" s="329" t="s">
        <v>15</v>
      </c>
      <c r="AG33" s="329" t="s">
        <v>16</v>
      </c>
      <c r="AH33" s="435" t="s">
        <v>17</v>
      </c>
      <c r="AI33" s="451" t="s">
        <v>11</v>
      </c>
      <c r="AJ33" s="447" t="s">
        <v>97</v>
      </c>
      <c r="AK33" s="448" t="s">
        <v>98</v>
      </c>
      <c r="AL33" s="452" t="s">
        <v>50</v>
      </c>
    </row>
    <row r="34" spans="1:38" ht="13.8" thickBot="1">
      <c r="A34" s="415" t="s">
        <v>91</v>
      </c>
      <c r="B34" s="415"/>
      <c r="C34" s="278">
        <f>NPV(D2,C7:C26)</f>
        <v>501352.18270471646</v>
      </c>
      <c r="D34" s="278">
        <f>NPV(D2,D7:D26)</f>
        <v>881920.12573798478</v>
      </c>
      <c r="E34" s="278">
        <f>NPV(D2,E7:E26)</f>
        <v>-41498.169253281048</v>
      </c>
      <c r="F34" s="278">
        <f>F27</f>
        <v>79841.25079715118</v>
      </c>
      <c r="G34" s="278">
        <f>G27</f>
        <v>-51098.400510176754</v>
      </c>
      <c r="H34" s="278">
        <f>NPV(D2,H7:H26)</f>
        <v>7850.6637951967823</v>
      </c>
      <c r="I34" s="434">
        <f>C34+D34+E34+F34+G34+H34</f>
        <v>1378367.6532715911</v>
      </c>
      <c r="J34" s="183">
        <f>NPV(D2,J7:J26)</f>
        <v>2874143.5759426733</v>
      </c>
      <c r="K34" s="183">
        <f>NPV(D2,K7:K26)</f>
        <v>3005338.2780617089</v>
      </c>
      <c r="L34" s="183">
        <f>NPV(D2,L7:L21)</f>
        <v>180374.26068868587</v>
      </c>
      <c r="M34" s="183">
        <f>NPV(D2,M7:M21)</f>
        <v>202522.5805360814</v>
      </c>
      <c r="N34" s="183">
        <f>NPV(D2,N7:N21)</f>
        <v>145918.04800095057</v>
      </c>
      <c r="O34" s="183">
        <f>NPV(D2,O7:O21)</f>
        <v>141765.7983364141</v>
      </c>
      <c r="P34" s="183">
        <f>NPV(D2,P7:P21)</f>
        <v>0</v>
      </c>
      <c r="Q34" s="183">
        <f>NPV(D2,Q7:Q21)</f>
        <v>0</v>
      </c>
      <c r="R34" s="276">
        <f>J34+L34+N34+P34</f>
        <v>3200435.8846323094</v>
      </c>
      <c r="S34" s="276">
        <f>K34+M34+O34+Q34</f>
        <v>3349626.6569342045</v>
      </c>
      <c r="T34" s="434">
        <f>S34-R34</f>
        <v>149190.77230189508</v>
      </c>
      <c r="U34" s="386"/>
      <c r="V34" s="386"/>
      <c r="W34" s="391">
        <f>NPV(D2,W7:W26)</f>
        <v>2222069.6210778127</v>
      </c>
      <c r="X34" s="386"/>
      <c r="Y34" s="386"/>
      <c r="Z34" s="341">
        <f>Z27</f>
        <v>120485.99920000003</v>
      </c>
      <c r="AA34" s="342">
        <f>AA27</f>
        <v>6202642.6799999997</v>
      </c>
      <c r="AB34" s="449">
        <f>W34+Z34+AA34</f>
        <v>8545198.3002778124</v>
      </c>
      <c r="AC34" s="450">
        <f>AB34-I34</f>
        <v>7166830.6470062211</v>
      </c>
      <c r="AD34" s="342">
        <f>AD27</f>
        <v>3207862.04</v>
      </c>
      <c r="AE34" s="342">
        <f>AE27</f>
        <v>0</v>
      </c>
      <c r="AF34" s="342">
        <f>NPV(D2,AF7:AF26)</f>
        <v>1499252.7910477635</v>
      </c>
      <c r="AG34" s="342">
        <f>AG27</f>
        <v>56328.758399999999</v>
      </c>
      <c r="AH34" s="278">
        <f>NPV(D2,AH7:AH26)</f>
        <v>149190.77230189426</v>
      </c>
      <c r="AI34" s="434">
        <f>AD34+AE34+AF34+AG34+AH34</f>
        <v>4912634.3617496584</v>
      </c>
      <c r="AJ34" s="446">
        <f>NPV(D2,AJ7:AJ26)</f>
        <v>197171.24844450981</v>
      </c>
      <c r="AK34" s="450">
        <f>AC34+AJ34</f>
        <v>7364001.8954507308</v>
      </c>
      <c r="AL34" s="450">
        <f>AK34-AI34</f>
        <v>2451367.5337010724</v>
      </c>
    </row>
    <row r="35" spans="1:38" ht="13.8" thickBot="1">
      <c r="A35" s="510" t="s">
        <v>91</v>
      </c>
      <c r="B35" s="510"/>
      <c r="C35" s="511"/>
      <c r="D35" s="511"/>
      <c r="E35" s="416"/>
      <c r="F35" s="416"/>
      <c r="G35" s="416"/>
      <c r="H35" s="416"/>
      <c r="I35" s="416" t="s">
        <v>91</v>
      </c>
      <c r="J35" s="184">
        <f ca="1">J34-'Test de compensation'!D110</f>
        <v>357502.36594267329</v>
      </c>
      <c r="K35" s="184">
        <f ca="1">K34-'Test de compensation'!D110</f>
        <v>488697.06806170894</v>
      </c>
      <c r="L35" s="183">
        <f ca="1">L34-'Test de compensation'!D111</f>
        <v>4023.250688685861</v>
      </c>
      <c r="M35" s="183">
        <f ca="1">M34-'Test de compensation'!D111</f>
        <v>26171.570536081388</v>
      </c>
      <c r="N35" s="183">
        <f ca="1">N34-'Test de compensation'!D112</f>
        <v>22472.348000950573</v>
      </c>
      <c r="O35" s="183">
        <f ca="1">O34-'Test de compensation'!D112</f>
        <v>18320.098336414099</v>
      </c>
      <c r="P35" s="183">
        <f ca="1">P34-'Test de compensation'!D113</f>
        <v>0</v>
      </c>
      <c r="Q35" s="183">
        <f ca="1">Q34-'Test de compensation'!D113</f>
        <v>0</v>
      </c>
      <c r="R35" s="143">
        <f ca="1">R34-'Test de compensation'!D115</f>
        <v>383997.96463230951</v>
      </c>
      <c r="S35" s="276">
        <f ca="1">S34-'Test de compensation'!D115</f>
        <v>533188.73693420459</v>
      </c>
      <c r="T35" s="407">
        <f>NPV(D2,T7:T26)</f>
        <v>149190.77230189426</v>
      </c>
      <c r="U35" s="408"/>
      <c r="V35" s="408"/>
      <c r="W35" s="408"/>
      <c r="X35" s="408"/>
      <c r="Y35" s="408"/>
      <c r="Z35" s="408"/>
      <c r="AA35" s="408"/>
      <c r="AB35" s="408" t="s">
        <v>91</v>
      </c>
      <c r="AC35" s="408" t="s">
        <v>91</v>
      </c>
      <c r="AD35" s="408"/>
      <c r="AE35" s="408"/>
      <c r="AF35" s="408"/>
      <c r="AG35" s="408"/>
      <c r="AH35" s="408"/>
      <c r="AI35" s="416" t="s">
        <v>91</v>
      </c>
      <c r="AJ35" s="8"/>
      <c r="AK35" s="416" t="s">
        <v>91</v>
      </c>
      <c r="AL35" s="416" t="s">
        <v>91</v>
      </c>
    </row>
    <row r="36" spans="1:38">
      <c r="T36" s="456">
        <f>S35-R35</f>
        <v>149190.77230189508</v>
      </c>
    </row>
    <row r="37" spans="1:38" ht="13.8">
      <c r="A37" s="368" t="s">
        <v>91</v>
      </c>
      <c r="B37" t="s">
        <v>91</v>
      </c>
      <c r="H37" s="368" t="s">
        <v>91</v>
      </c>
    </row>
    <row r="38" spans="1:38" ht="45" customHeight="1">
      <c r="A38" s="492" t="s">
        <v>91</v>
      </c>
      <c r="B38" s="492"/>
      <c r="C38" s="492"/>
      <c r="D38" s="492"/>
      <c r="E38" s="492"/>
      <c r="H38" s="492" t="s">
        <v>91</v>
      </c>
      <c r="I38" s="492"/>
      <c r="J38" s="492"/>
      <c r="K38" s="492"/>
    </row>
    <row r="39" spans="1:38">
      <c r="A39" t="s">
        <v>91</v>
      </c>
      <c r="E39" s="361" t="s">
        <v>91</v>
      </c>
      <c r="H39" s="361" t="s">
        <v>91</v>
      </c>
      <c r="K39" s="366" t="s">
        <v>91</v>
      </c>
      <c r="L39" s="361"/>
      <c r="M39" s="361"/>
      <c r="N39" s="361"/>
      <c r="O39" s="361"/>
      <c r="P39" s="361"/>
      <c r="Q39" s="361"/>
      <c r="R39" s="361"/>
      <c r="S39" s="361"/>
      <c r="AJ39" s="296"/>
    </row>
    <row r="40" spans="1:38">
      <c r="A40" t="s">
        <v>91</v>
      </c>
      <c r="E40" s="362" t="s">
        <v>91</v>
      </c>
      <c r="H40" s="361" t="s">
        <v>91</v>
      </c>
      <c r="K40" s="361" t="s">
        <v>91</v>
      </c>
      <c r="L40" s="361"/>
      <c r="M40" s="361"/>
      <c r="N40" s="361"/>
      <c r="O40" s="361"/>
      <c r="P40" s="361"/>
      <c r="Q40" s="361"/>
      <c r="R40" s="361"/>
      <c r="S40" s="361"/>
    </row>
    <row r="41" spans="1:38">
      <c r="A41" s="2" t="s">
        <v>91</v>
      </c>
      <c r="E41" s="366" t="s">
        <v>91</v>
      </c>
      <c r="H41" s="361" t="s">
        <v>91</v>
      </c>
      <c r="K41" s="363" t="s">
        <v>91</v>
      </c>
      <c r="L41" s="361"/>
      <c r="M41" s="361"/>
      <c r="N41" s="361"/>
      <c r="O41" s="361"/>
      <c r="P41" s="361"/>
      <c r="Q41" s="361"/>
      <c r="R41" s="361"/>
      <c r="S41" s="361"/>
    </row>
    <row r="42" spans="1:38">
      <c r="A42" t="s">
        <v>91</v>
      </c>
      <c r="E42" s="363" t="s">
        <v>91</v>
      </c>
      <c r="H42" s="361" t="s">
        <v>91</v>
      </c>
      <c r="K42" s="361" t="s">
        <v>91</v>
      </c>
      <c r="L42" s="361"/>
      <c r="M42" s="361"/>
      <c r="N42" s="361"/>
      <c r="O42" s="361"/>
      <c r="P42" s="361"/>
      <c r="Q42" s="361"/>
      <c r="R42" s="361"/>
      <c r="S42" s="361"/>
    </row>
    <row r="43" spans="1:38">
      <c r="A43" t="s">
        <v>91</v>
      </c>
      <c r="E43" s="361" t="s">
        <v>91</v>
      </c>
      <c r="H43" s="361" t="s">
        <v>91</v>
      </c>
      <c r="K43" s="365" t="s">
        <v>91</v>
      </c>
      <c r="L43" s="361"/>
      <c r="M43" s="361"/>
      <c r="N43" s="361"/>
      <c r="O43" s="361"/>
      <c r="P43" s="361"/>
      <c r="Q43" s="361"/>
      <c r="R43" s="361"/>
      <c r="S43" s="361"/>
    </row>
    <row r="44" spans="1:38">
      <c r="A44" t="s">
        <v>91</v>
      </c>
      <c r="D44" s="365" t="s">
        <v>91</v>
      </c>
      <c r="E44" s="367" t="s">
        <v>91</v>
      </c>
      <c r="H44" s="361" t="s">
        <v>91</v>
      </c>
      <c r="K44" s="366" t="s">
        <v>91</v>
      </c>
      <c r="L44" s="361"/>
      <c r="M44" s="361"/>
      <c r="N44" s="361"/>
      <c r="O44" s="361"/>
      <c r="P44" s="361"/>
      <c r="Q44" s="361"/>
      <c r="R44" s="361"/>
      <c r="S44" s="361"/>
    </row>
    <row r="45" spans="1:38">
      <c r="A45" t="s">
        <v>91</v>
      </c>
      <c r="H45" s="361" t="s">
        <v>91</v>
      </c>
      <c r="K45" s="369" t="s">
        <v>91</v>
      </c>
      <c r="L45" s="361"/>
      <c r="M45" s="361"/>
      <c r="N45" s="361"/>
      <c r="O45" s="361"/>
      <c r="P45" s="361"/>
      <c r="Q45" s="361"/>
      <c r="R45" s="361"/>
      <c r="S45" s="361"/>
    </row>
    <row r="46" spans="1:38">
      <c r="A46" s="393" t="s">
        <v>91</v>
      </c>
      <c r="B46" s="296" t="s">
        <v>91</v>
      </c>
      <c r="C46" s="296" t="s">
        <v>91</v>
      </c>
      <c r="D46" s="296" t="s">
        <v>91</v>
      </c>
      <c r="E46" s="296" t="s">
        <v>91</v>
      </c>
      <c r="H46" s="381" t="s">
        <v>91</v>
      </c>
      <c r="I46" s="382"/>
      <c r="J46" s="296"/>
      <c r="K46" s="382" t="s">
        <v>91</v>
      </c>
      <c r="L46" s="361"/>
      <c r="M46" s="361"/>
      <c r="N46" s="361"/>
      <c r="O46" s="361"/>
      <c r="P46" s="361"/>
      <c r="Q46" s="361"/>
      <c r="R46" s="361"/>
      <c r="S46" s="361"/>
    </row>
    <row r="47" spans="1:38">
      <c r="A47" s="394" t="s">
        <v>91</v>
      </c>
      <c r="B47" s="364" t="s">
        <v>91</v>
      </c>
      <c r="C47" s="395" t="s">
        <v>91</v>
      </c>
      <c r="D47" s="364" t="s">
        <v>91</v>
      </c>
      <c r="E47" s="364" t="s">
        <v>91</v>
      </c>
      <c r="F47" s="361"/>
      <c r="G47" s="361"/>
      <c r="H47" s="383" t="s">
        <v>91</v>
      </c>
      <c r="I47" s="384"/>
      <c r="J47" s="296"/>
      <c r="K47" s="384" t="str">
        <f>K42</f>
        <v xml:space="preserve"> </v>
      </c>
      <c r="L47" s="361"/>
      <c r="M47" s="361"/>
      <c r="N47" s="361"/>
      <c r="O47" s="361"/>
      <c r="P47" s="361"/>
      <c r="Q47" s="361"/>
      <c r="R47" s="361"/>
      <c r="S47" s="361"/>
    </row>
    <row r="48" spans="1:38">
      <c r="A48" s="394" t="s">
        <v>91</v>
      </c>
      <c r="B48" s="364" t="str">
        <f>B47</f>
        <v xml:space="preserve"> </v>
      </c>
      <c r="C48" s="395" t="s">
        <v>91</v>
      </c>
      <c r="D48" s="364" t="s">
        <v>91</v>
      </c>
      <c r="E48" s="364" t="s">
        <v>91</v>
      </c>
      <c r="F48" s="361"/>
      <c r="G48" s="361"/>
      <c r="H48" s="383" t="s">
        <v>91</v>
      </c>
      <c r="I48" s="384"/>
      <c r="J48" s="296"/>
      <c r="K48" s="384" t="str">
        <f t="shared" ref="K48:K66" si="28">K47</f>
        <v xml:space="preserve"> </v>
      </c>
      <c r="L48" s="361"/>
      <c r="M48" s="361"/>
      <c r="N48" s="361"/>
      <c r="O48" s="361"/>
      <c r="P48" s="361"/>
      <c r="Q48" s="361"/>
      <c r="R48" s="361"/>
      <c r="S48" s="361"/>
    </row>
    <row r="49" spans="1:19">
      <c r="A49" s="394" t="s">
        <v>91</v>
      </c>
      <c r="B49" s="364" t="str">
        <f t="shared" ref="B49:B66" si="29">B48</f>
        <v xml:space="preserve"> </v>
      </c>
      <c r="C49" s="395" t="s">
        <v>91</v>
      </c>
      <c r="D49" s="364" t="s">
        <v>91</v>
      </c>
      <c r="E49" s="364" t="s">
        <v>91</v>
      </c>
      <c r="F49" s="361"/>
      <c r="G49" s="361"/>
      <c r="H49" s="383" t="s">
        <v>91</v>
      </c>
      <c r="I49" s="384"/>
      <c r="J49" s="296"/>
      <c r="K49" s="384" t="str">
        <f t="shared" si="28"/>
        <v xml:space="preserve"> </v>
      </c>
      <c r="L49" s="361"/>
      <c r="M49" s="361"/>
      <c r="N49" s="361"/>
      <c r="O49" s="361"/>
      <c r="P49" s="361"/>
      <c r="Q49" s="361"/>
      <c r="R49" s="361"/>
      <c r="S49" s="361"/>
    </row>
    <row r="50" spans="1:19">
      <c r="A50" s="394" t="s">
        <v>91</v>
      </c>
      <c r="B50" s="364" t="str">
        <f t="shared" si="29"/>
        <v xml:space="preserve"> </v>
      </c>
      <c r="C50" s="395" t="s">
        <v>91</v>
      </c>
      <c r="D50" s="364" t="s">
        <v>91</v>
      </c>
      <c r="E50" s="364" t="s">
        <v>91</v>
      </c>
      <c r="F50" s="361"/>
      <c r="G50" s="361"/>
      <c r="H50" s="383" t="s">
        <v>91</v>
      </c>
      <c r="I50" s="384"/>
      <c r="J50" s="296"/>
      <c r="K50" s="384" t="str">
        <f t="shared" si="28"/>
        <v xml:space="preserve"> </v>
      </c>
      <c r="L50" s="361"/>
      <c r="M50" s="361"/>
      <c r="N50" s="361"/>
      <c r="O50" s="361"/>
      <c r="P50" s="361"/>
      <c r="Q50" s="361"/>
      <c r="R50" s="361"/>
      <c r="S50" s="361"/>
    </row>
    <row r="51" spans="1:19">
      <c r="A51" s="394" t="s">
        <v>91</v>
      </c>
      <c r="B51" s="364" t="str">
        <f t="shared" si="29"/>
        <v xml:space="preserve"> </v>
      </c>
      <c r="C51" s="395" t="s">
        <v>91</v>
      </c>
      <c r="D51" s="364" t="s">
        <v>91</v>
      </c>
      <c r="E51" s="364" t="s">
        <v>91</v>
      </c>
      <c r="F51" s="361"/>
      <c r="G51" s="361"/>
      <c r="H51" s="383" t="s">
        <v>91</v>
      </c>
      <c r="I51" s="384"/>
      <c r="J51" s="296"/>
      <c r="K51" s="384" t="str">
        <f t="shared" si="28"/>
        <v xml:space="preserve"> </v>
      </c>
      <c r="L51" s="361"/>
      <c r="M51" s="361"/>
      <c r="N51" s="361"/>
      <c r="O51" s="361"/>
      <c r="P51" s="361"/>
      <c r="Q51" s="361"/>
      <c r="R51" s="361"/>
      <c r="S51" s="361"/>
    </row>
    <row r="52" spans="1:19">
      <c r="A52" s="394" t="s">
        <v>91</v>
      </c>
      <c r="B52" s="364" t="str">
        <f t="shared" si="29"/>
        <v xml:space="preserve"> </v>
      </c>
      <c r="C52" s="395" t="s">
        <v>91</v>
      </c>
      <c r="D52" s="364" t="s">
        <v>91</v>
      </c>
      <c r="E52" s="364" t="s">
        <v>91</v>
      </c>
      <c r="F52" s="361"/>
      <c r="G52" s="361"/>
      <c r="H52" s="383" t="s">
        <v>91</v>
      </c>
      <c r="I52" s="384"/>
      <c r="J52" s="296"/>
      <c r="K52" s="384" t="str">
        <f t="shared" si="28"/>
        <v xml:space="preserve"> </v>
      </c>
      <c r="L52" s="361"/>
      <c r="M52" s="361"/>
      <c r="N52" s="361"/>
      <c r="O52" s="361"/>
      <c r="P52" s="361"/>
      <c r="Q52" s="361"/>
      <c r="R52" s="361"/>
      <c r="S52" s="361"/>
    </row>
    <row r="53" spans="1:19">
      <c r="A53" s="394" t="s">
        <v>91</v>
      </c>
      <c r="B53" s="364" t="str">
        <f t="shared" si="29"/>
        <v xml:space="preserve"> </v>
      </c>
      <c r="C53" s="395" t="s">
        <v>91</v>
      </c>
      <c r="D53" s="364" t="s">
        <v>91</v>
      </c>
      <c r="E53" s="364" t="s">
        <v>91</v>
      </c>
      <c r="F53" s="361"/>
      <c r="G53" s="361"/>
      <c r="H53" s="383" t="s">
        <v>91</v>
      </c>
      <c r="I53" s="384"/>
      <c r="J53" s="296"/>
      <c r="K53" s="384" t="str">
        <f t="shared" si="28"/>
        <v xml:space="preserve"> </v>
      </c>
      <c r="L53" s="361"/>
      <c r="M53" s="361"/>
      <c r="N53" s="361"/>
      <c r="O53" s="361"/>
      <c r="P53" s="361"/>
      <c r="Q53" s="361"/>
      <c r="R53" s="361"/>
      <c r="S53" s="361"/>
    </row>
    <row r="54" spans="1:19">
      <c r="A54" s="394" t="s">
        <v>91</v>
      </c>
      <c r="B54" s="364" t="str">
        <f t="shared" si="29"/>
        <v xml:space="preserve"> </v>
      </c>
      <c r="C54" s="395" t="s">
        <v>91</v>
      </c>
      <c r="D54" s="364" t="s">
        <v>91</v>
      </c>
      <c r="E54" s="364" t="s">
        <v>91</v>
      </c>
      <c r="F54" s="361"/>
      <c r="G54" s="361"/>
      <c r="H54" s="383" t="s">
        <v>91</v>
      </c>
      <c r="I54" s="384"/>
      <c r="J54" s="296"/>
      <c r="K54" s="384" t="str">
        <f t="shared" si="28"/>
        <v xml:space="preserve"> </v>
      </c>
      <c r="L54" s="361"/>
      <c r="M54" s="361"/>
      <c r="N54" s="361"/>
      <c r="O54" s="361"/>
      <c r="P54" s="361"/>
      <c r="Q54" s="361"/>
      <c r="R54" s="361"/>
      <c r="S54" s="361"/>
    </row>
    <row r="55" spans="1:19">
      <c r="A55" s="394" t="s">
        <v>91</v>
      </c>
      <c r="B55" s="364" t="str">
        <f t="shared" si="29"/>
        <v xml:space="preserve"> </v>
      </c>
      <c r="C55" s="395" t="s">
        <v>91</v>
      </c>
      <c r="D55" s="364" t="s">
        <v>91</v>
      </c>
      <c r="E55" s="364" t="s">
        <v>91</v>
      </c>
      <c r="F55" s="361"/>
      <c r="G55" s="361"/>
      <c r="H55" s="383" t="s">
        <v>91</v>
      </c>
      <c r="I55" s="384"/>
      <c r="J55" s="296"/>
      <c r="K55" s="384" t="str">
        <f t="shared" si="28"/>
        <v xml:space="preserve"> </v>
      </c>
      <c r="L55" s="361"/>
      <c r="M55" s="361"/>
      <c r="N55" s="361"/>
      <c r="O55" s="361"/>
      <c r="P55" s="361"/>
      <c r="Q55" s="361"/>
      <c r="R55" s="361"/>
      <c r="S55" s="361"/>
    </row>
    <row r="56" spans="1:19">
      <c r="A56" s="394" t="s">
        <v>91</v>
      </c>
      <c r="B56" s="364" t="str">
        <f t="shared" si="29"/>
        <v xml:space="preserve"> </v>
      </c>
      <c r="C56" s="395" t="s">
        <v>91</v>
      </c>
      <c r="D56" s="364" t="s">
        <v>91</v>
      </c>
      <c r="E56" s="364" t="s">
        <v>91</v>
      </c>
      <c r="F56" s="361"/>
      <c r="G56" s="361"/>
      <c r="H56" s="383" t="s">
        <v>91</v>
      </c>
      <c r="I56" s="384"/>
      <c r="J56" s="296"/>
      <c r="K56" s="384" t="str">
        <f t="shared" si="28"/>
        <v xml:space="preserve"> </v>
      </c>
      <c r="L56" s="361"/>
      <c r="M56" s="361"/>
      <c r="N56" s="361"/>
      <c r="O56" s="361"/>
      <c r="P56" s="361"/>
      <c r="Q56" s="361"/>
      <c r="R56" s="361"/>
      <c r="S56" s="361"/>
    </row>
    <row r="57" spans="1:19">
      <c r="A57" s="394" t="s">
        <v>91</v>
      </c>
      <c r="B57" s="364" t="str">
        <f t="shared" si="29"/>
        <v xml:space="preserve"> </v>
      </c>
      <c r="C57" s="395" t="s">
        <v>91</v>
      </c>
      <c r="D57" s="364" t="s">
        <v>91</v>
      </c>
      <c r="E57" s="364" t="s">
        <v>91</v>
      </c>
      <c r="F57" s="361"/>
      <c r="G57" s="361"/>
      <c r="H57" s="383" t="s">
        <v>91</v>
      </c>
      <c r="I57" s="384"/>
      <c r="J57" s="296"/>
      <c r="K57" s="384" t="str">
        <f t="shared" si="28"/>
        <v xml:space="preserve"> </v>
      </c>
      <c r="L57" s="361"/>
      <c r="M57" s="361"/>
      <c r="N57" s="361"/>
      <c r="O57" s="361"/>
      <c r="P57" s="361"/>
      <c r="Q57" s="361"/>
      <c r="R57" s="361"/>
      <c r="S57" s="361"/>
    </row>
    <row r="58" spans="1:19">
      <c r="A58" s="394" t="s">
        <v>91</v>
      </c>
      <c r="B58" s="364" t="str">
        <f t="shared" si="29"/>
        <v xml:space="preserve"> </v>
      </c>
      <c r="C58" s="395" t="s">
        <v>91</v>
      </c>
      <c r="D58" s="364" t="s">
        <v>91</v>
      </c>
      <c r="E58" s="364" t="s">
        <v>91</v>
      </c>
      <c r="F58" s="361"/>
      <c r="G58" s="361"/>
      <c r="H58" s="383" t="s">
        <v>91</v>
      </c>
      <c r="I58" s="384"/>
      <c r="J58" s="296"/>
      <c r="K58" s="384" t="str">
        <f t="shared" si="28"/>
        <v xml:space="preserve"> </v>
      </c>
      <c r="L58" s="361"/>
      <c r="M58" s="361"/>
      <c r="N58" s="361"/>
      <c r="O58" s="361"/>
      <c r="P58" s="361"/>
      <c r="Q58" s="361"/>
      <c r="R58" s="361"/>
      <c r="S58" s="361"/>
    </row>
    <row r="59" spans="1:19">
      <c r="A59" s="394" t="s">
        <v>91</v>
      </c>
      <c r="B59" s="364" t="str">
        <f t="shared" si="29"/>
        <v xml:space="preserve"> </v>
      </c>
      <c r="C59" s="395" t="s">
        <v>91</v>
      </c>
      <c r="D59" s="364" t="s">
        <v>91</v>
      </c>
      <c r="E59" s="364" t="s">
        <v>91</v>
      </c>
      <c r="F59" s="361"/>
      <c r="G59" s="361"/>
      <c r="H59" s="383" t="s">
        <v>91</v>
      </c>
      <c r="I59" s="384"/>
      <c r="J59" s="296"/>
      <c r="K59" s="384" t="str">
        <f t="shared" si="28"/>
        <v xml:space="preserve"> </v>
      </c>
      <c r="L59" s="361"/>
      <c r="M59" s="361"/>
      <c r="N59" s="361"/>
      <c r="O59" s="361"/>
      <c r="P59" s="361"/>
      <c r="Q59" s="361"/>
      <c r="R59" s="361"/>
      <c r="S59" s="361"/>
    </row>
    <row r="60" spans="1:19">
      <c r="A60" s="394" t="s">
        <v>91</v>
      </c>
      <c r="B60" s="364" t="str">
        <f t="shared" si="29"/>
        <v xml:space="preserve"> </v>
      </c>
      <c r="C60" s="395" t="s">
        <v>91</v>
      </c>
      <c r="D60" s="364" t="s">
        <v>91</v>
      </c>
      <c r="E60" s="364" t="s">
        <v>91</v>
      </c>
      <c r="F60" s="361"/>
      <c r="G60" s="361"/>
      <c r="H60" s="383" t="s">
        <v>91</v>
      </c>
      <c r="I60" s="384"/>
      <c r="J60" s="296"/>
      <c r="K60" s="384" t="str">
        <f t="shared" si="28"/>
        <v xml:space="preserve"> </v>
      </c>
      <c r="L60" s="361"/>
      <c r="M60" s="361"/>
      <c r="N60" s="361"/>
      <c r="O60" s="361"/>
      <c r="P60" s="361"/>
      <c r="Q60" s="361"/>
      <c r="R60" s="361"/>
      <c r="S60" s="361"/>
    </row>
    <row r="61" spans="1:19">
      <c r="A61" s="394" t="s">
        <v>91</v>
      </c>
      <c r="B61" s="364" t="str">
        <f t="shared" si="29"/>
        <v xml:space="preserve"> </v>
      </c>
      <c r="C61" s="395" t="s">
        <v>91</v>
      </c>
      <c r="D61" s="364" t="s">
        <v>91</v>
      </c>
      <c r="E61" s="364" t="s">
        <v>91</v>
      </c>
      <c r="F61" s="361"/>
      <c r="G61" s="361"/>
      <c r="H61" s="383" t="s">
        <v>91</v>
      </c>
      <c r="I61" s="384"/>
      <c r="J61" s="296"/>
      <c r="K61" s="384" t="str">
        <f t="shared" si="28"/>
        <v xml:space="preserve"> </v>
      </c>
      <c r="L61" s="361"/>
      <c r="M61" s="361"/>
      <c r="N61" s="361"/>
      <c r="O61" s="361"/>
      <c r="P61" s="361"/>
      <c r="Q61" s="361"/>
      <c r="R61" s="361"/>
      <c r="S61" s="361"/>
    </row>
    <row r="62" spans="1:19">
      <c r="A62" s="394" t="s">
        <v>91</v>
      </c>
      <c r="B62" s="364" t="str">
        <f t="shared" si="29"/>
        <v xml:space="preserve"> </v>
      </c>
      <c r="C62" s="395" t="s">
        <v>91</v>
      </c>
      <c r="D62" s="364" t="s">
        <v>91</v>
      </c>
      <c r="E62" s="364" t="s">
        <v>91</v>
      </c>
      <c r="F62" s="361"/>
      <c r="G62" s="361"/>
      <c r="H62" s="383" t="s">
        <v>91</v>
      </c>
      <c r="I62" s="384"/>
      <c r="J62" s="296"/>
      <c r="K62" s="384" t="str">
        <f t="shared" si="28"/>
        <v xml:space="preserve"> </v>
      </c>
      <c r="L62" s="361"/>
      <c r="M62" s="361"/>
      <c r="N62" s="361"/>
      <c r="O62" s="361"/>
      <c r="P62" s="361"/>
      <c r="Q62" s="361"/>
      <c r="R62" s="361"/>
      <c r="S62" s="361"/>
    </row>
    <row r="63" spans="1:19">
      <c r="A63" s="394" t="s">
        <v>91</v>
      </c>
      <c r="B63" s="364" t="str">
        <f t="shared" si="29"/>
        <v xml:space="preserve"> </v>
      </c>
      <c r="C63" s="395" t="s">
        <v>91</v>
      </c>
      <c r="D63" s="364" t="s">
        <v>91</v>
      </c>
      <c r="E63" s="364" t="s">
        <v>91</v>
      </c>
      <c r="F63" s="361"/>
      <c r="G63" s="361"/>
      <c r="H63" s="383" t="s">
        <v>91</v>
      </c>
      <c r="I63" s="384"/>
      <c r="J63" s="296"/>
      <c r="K63" s="384" t="str">
        <f t="shared" si="28"/>
        <v xml:space="preserve"> </v>
      </c>
      <c r="L63" s="361"/>
      <c r="M63" s="361"/>
      <c r="N63" s="361"/>
      <c r="O63" s="361"/>
      <c r="P63" s="361"/>
      <c r="Q63" s="361"/>
      <c r="R63" s="361"/>
      <c r="S63" s="361"/>
    </row>
    <row r="64" spans="1:19">
      <c r="A64" s="394" t="s">
        <v>91</v>
      </c>
      <c r="B64" s="364" t="str">
        <f t="shared" si="29"/>
        <v xml:space="preserve"> </v>
      </c>
      <c r="C64" s="395" t="s">
        <v>91</v>
      </c>
      <c r="D64" s="364" t="s">
        <v>91</v>
      </c>
      <c r="E64" s="364" t="s">
        <v>91</v>
      </c>
      <c r="F64" s="361"/>
      <c r="G64" s="361"/>
      <c r="H64" s="383" t="s">
        <v>91</v>
      </c>
      <c r="I64" s="384"/>
      <c r="J64" s="296"/>
      <c r="K64" s="384" t="str">
        <f t="shared" si="28"/>
        <v xml:space="preserve"> </v>
      </c>
      <c r="L64" s="361"/>
      <c r="M64" s="361"/>
      <c r="N64" s="361"/>
      <c r="O64" s="361"/>
      <c r="P64" s="361"/>
      <c r="Q64" s="361"/>
      <c r="R64" s="361"/>
      <c r="S64" s="361"/>
    </row>
    <row r="65" spans="1:19">
      <c r="A65" s="394" t="s">
        <v>91</v>
      </c>
      <c r="B65" s="364" t="str">
        <f t="shared" si="29"/>
        <v xml:space="preserve"> </v>
      </c>
      <c r="C65" s="395" t="s">
        <v>91</v>
      </c>
      <c r="D65" s="364" t="s">
        <v>91</v>
      </c>
      <c r="E65" s="364" t="s">
        <v>91</v>
      </c>
      <c r="F65" s="361"/>
      <c r="G65" s="361"/>
      <c r="H65" s="383" t="s">
        <v>91</v>
      </c>
      <c r="I65" s="384"/>
      <c r="J65" s="296"/>
      <c r="K65" s="384" t="str">
        <f t="shared" si="28"/>
        <v xml:space="preserve"> </v>
      </c>
      <c r="L65" s="361"/>
      <c r="M65" s="361"/>
      <c r="N65" s="361"/>
      <c r="O65" s="361"/>
      <c r="P65" s="361"/>
      <c r="Q65" s="361"/>
      <c r="R65" s="361"/>
      <c r="S65" s="361"/>
    </row>
    <row r="66" spans="1:19">
      <c r="A66" s="394" t="s">
        <v>91</v>
      </c>
      <c r="B66" s="364" t="str">
        <f t="shared" si="29"/>
        <v xml:space="preserve"> </v>
      </c>
      <c r="C66" s="395" t="s">
        <v>91</v>
      </c>
      <c r="D66" s="364" t="s">
        <v>91</v>
      </c>
      <c r="E66" s="364" t="s">
        <v>91</v>
      </c>
      <c r="F66" s="361"/>
      <c r="G66" s="361"/>
      <c r="H66" s="383" t="s">
        <v>91</v>
      </c>
      <c r="I66" s="384"/>
      <c r="J66" s="296"/>
      <c r="K66" s="384" t="str">
        <f t="shared" si="28"/>
        <v xml:space="preserve"> </v>
      </c>
      <c r="L66" s="361"/>
      <c r="M66" s="361"/>
      <c r="N66" s="361"/>
      <c r="O66" s="361"/>
      <c r="P66" s="361"/>
      <c r="Q66" s="361"/>
      <c r="R66" s="361"/>
      <c r="S66" s="361"/>
    </row>
    <row r="67" spans="1:19">
      <c r="A67" s="102"/>
      <c r="B67" s="364"/>
      <c r="C67" s="364"/>
      <c r="D67" s="364"/>
      <c r="E67" s="364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</row>
    <row r="68" spans="1:19">
      <c r="B68" s="361"/>
      <c r="C68" s="361"/>
      <c r="D68" s="361"/>
      <c r="E68" s="361"/>
      <c r="F68" s="361"/>
      <c r="G68" s="361"/>
      <c r="H68" s="361"/>
      <c r="I68" s="361"/>
      <c r="J68" s="361"/>
      <c r="K68" s="361"/>
      <c r="L68" s="361"/>
      <c r="M68" s="361"/>
      <c r="N68" s="361"/>
      <c r="O68" s="361"/>
      <c r="P68" s="361"/>
      <c r="Q68" s="361"/>
      <c r="R68" s="361"/>
      <c r="S68" s="361"/>
    </row>
  </sheetData>
  <mergeCells count="15">
    <mergeCell ref="A35:D35"/>
    <mergeCell ref="C4:I4"/>
    <mergeCell ref="J5:K5"/>
    <mergeCell ref="J4:AC4"/>
    <mergeCell ref="U5:Y5"/>
    <mergeCell ref="A38:E38"/>
    <mergeCell ref="H38:K38"/>
    <mergeCell ref="AD4:AI4"/>
    <mergeCell ref="AF28:AH28"/>
    <mergeCell ref="P28:Q28"/>
    <mergeCell ref="I29:J29"/>
    <mergeCell ref="L5:M5"/>
    <mergeCell ref="N5:O5"/>
    <mergeCell ref="P5:Q5"/>
    <mergeCell ref="R5:T5"/>
  </mergeCells>
  <phoneticPr fontId="2" type="noConversion"/>
  <hyperlinks>
    <hyperlink ref="P1" r:id="rId1" display="Question"/>
    <hyperlink ref="I1" r:id="rId2"/>
  </hyperlinks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2"/>
  <sheetViews>
    <sheetView zoomScaleNormal="120" workbookViewId="0">
      <selection activeCell="A26" sqref="A26"/>
    </sheetView>
  </sheetViews>
  <sheetFormatPr baseColWidth="10" defaultRowHeight="13.2"/>
  <cols>
    <col min="1" max="6" width="11.5546875" style="242"/>
    <col min="7" max="7" width="11.5546875" style="1"/>
    <col min="8" max="8" width="6.109375" customWidth="1"/>
  </cols>
  <sheetData>
    <row r="1" spans="1:8" s="2" customFormat="1">
      <c r="A1" s="251" t="s">
        <v>241</v>
      </c>
      <c r="B1" s="251"/>
      <c r="C1" s="251"/>
      <c r="D1" s="251"/>
      <c r="E1" s="306"/>
      <c r="F1" s="251"/>
      <c r="G1" s="282" t="s">
        <v>95</v>
      </c>
    </row>
    <row r="2" spans="1:8" s="2" customFormat="1">
      <c r="A2" s="251" t="s">
        <v>74</v>
      </c>
      <c r="B2" s="251"/>
      <c r="C2" s="251"/>
      <c r="D2" s="251"/>
      <c r="E2" s="306"/>
      <c r="F2" s="251"/>
      <c r="G2" s="282"/>
    </row>
    <row r="3" spans="1:8" s="2" customFormat="1">
      <c r="A3" s="251"/>
      <c r="B3" s="251"/>
      <c r="C3" s="251"/>
      <c r="D3" s="251"/>
      <c r="E3" s="251"/>
      <c r="F3" s="251"/>
      <c r="G3" s="243"/>
    </row>
    <row r="4" spans="1:8" s="1" customFormat="1" ht="10.199999999999999">
      <c r="A4" s="243" t="s">
        <v>237</v>
      </c>
    </row>
    <row r="5" spans="1:8" s="1" customFormat="1" ht="10.199999999999999">
      <c r="A5" s="6" t="s">
        <v>330</v>
      </c>
    </row>
    <row r="6" spans="1:8" s="1" customFormat="1" ht="10.199999999999999">
      <c r="A6" s="6"/>
    </row>
    <row r="7" spans="1:8" s="1" customFormat="1" ht="10.199999999999999">
      <c r="A7" s="243" t="s">
        <v>365</v>
      </c>
    </row>
    <row r="9" spans="1:8" s="243" customFormat="1" ht="10.199999999999999">
      <c r="A9" s="243" t="s">
        <v>246</v>
      </c>
      <c r="E9" s="273" t="s">
        <v>165</v>
      </c>
      <c r="F9" s="243" t="s">
        <v>91</v>
      </c>
    </row>
    <row r="10" spans="1:8" s="243" customFormat="1" ht="10.199999999999999">
      <c r="A10" s="243" t="s">
        <v>362</v>
      </c>
      <c r="E10" s="281" t="s">
        <v>329</v>
      </c>
    </row>
    <row r="11" spans="1:8" s="243" customFormat="1" ht="10.199999999999999"/>
    <row r="12" spans="1:8" s="252" customFormat="1">
      <c r="A12" s="243" t="s">
        <v>64</v>
      </c>
      <c r="B12" s="6"/>
      <c r="C12" s="6"/>
      <c r="D12" s="6"/>
      <c r="E12" s="6"/>
      <c r="F12" s="6"/>
      <c r="G12" s="6"/>
      <c r="H12" s="6"/>
    </row>
    <row r="13" spans="1:8" s="252" customFormat="1" ht="13.8" thickBot="1">
      <c r="A13" s="6"/>
      <c r="B13" s="6"/>
      <c r="C13" s="6"/>
      <c r="D13" s="6"/>
      <c r="E13" s="6"/>
      <c r="F13" s="6"/>
      <c r="G13" s="6"/>
      <c r="H13" s="6"/>
    </row>
    <row r="14" spans="1:8" ht="13.8" thickBot="1">
      <c r="A14" s="6" t="s">
        <v>238</v>
      </c>
      <c r="B14" s="6"/>
      <c r="C14" s="6"/>
      <c r="D14" s="6"/>
      <c r="E14" s="6"/>
      <c r="F14" s="6"/>
      <c r="G14" s="305">
        <f ca="1">'Test de compensation'!G110</f>
        <v>20</v>
      </c>
      <c r="H14" s="119" t="s">
        <v>226</v>
      </c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 s="2" customFormat="1">
      <c r="A16" s="243" t="s">
        <v>366</v>
      </c>
      <c r="B16" s="243"/>
      <c r="C16" s="243"/>
      <c r="D16" s="243"/>
      <c r="E16" s="243"/>
      <c r="F16" s="243"/>
      <c r="G16" s="243"/>
      <c r="H16" s="243"/>
    </row>
    <row r="17" spans="1:13">
      <c r="A17" s="6"/>
      <c r="B17" s="6" t="s">
        <v>367</v>
      </c>
      <c r="C17" s="6"/>
      <c r="D17" s="6"/>
      <c r="E17" s="6"/>
      <c r="F17" s="6"/>
      <c r="G17" s="244">
        <f ca="1">'Test de compensation'!D108</f>
        <v>178342.72</v>
      </c>
      <c r="H17" s="248">
        <f>G17/G20</f>
        <v>2.8752699325249542E-2</v>
      </c>
    </row>
    <row r="18" spans="1:13">
      <c r="A18" s="6"/>
      <c r="B18" s="6" t="s">
        <v>368</v>
      </c>
      <c r="C18" s="6"/>
      <c r="D18" s="6"/>
      <c r="E18" s="6"/>
      <c r="F18" s="6"/>
      <c r="G18" s="244">
        <f ca="1">'Test de compensation'!D115</f>
        <v>2816437.92</v>
      </c>
      <c r="H18" s="248">
        <f>G18/G20</f>
        <v>0.45407063816224863</v>
      </c>
    </row>
    <row r="19" spans="1:13" ht="13.8" thickBot="1">
      <c r="A19" s="6"/>
      <c r="B19" s="6" t="s">
        <v>60</v>
      </c>
      <c r="C19" s="6"/>
      <c r="D19" s="6"/>
      <c r="E19" s="6"/>
      <c r="F19" s="6"/>
      <c r="G19" s="250">
        <f ca="1">'Test de compensation'!D107</f>
        <v>3207862.04</v>
      </c>
      <c r="H19" s="248">
        <f>G19/G20</f>
        <v>0.51717666251250183</v>
      </c>
      <c r="J19" t="s">
        <v>91</v>
      </c>
      <c r="K19" t="s">
        <v>91</v>
      </c>
      <c r="L19" t="s">
        <v>91</v>
      </c>
      <c r="M19" t="s">
        <v>91</v>
      </c>
    </row>
    <row r="20" spans="1:13" ht="13.8" thickBot="1">
      <c r="A20" s="6"/>
      <c r="B20" s="6" t="s">
        <v>242</v>
      </c>
      <c r="C20" s="6"/>
      <c r="D20" s="6"/>
      <c r="E20" s="6"/>
      <c r="F20" s="6"/>
      <c r="G20" s="143">
        <f ca="1">SUM(G17:G19)</f>
        <v>6202642.6799999997</v>
      </c>
      <c r="H20" s="248">
        <f>SUM(H17:H19)</f>
        <v>1</v>
      </c>
      <c r="J20" t="s">
        <v>91</v>
      </c>
      <c r="K20" t="s">
        <v>91</v>
      </c>
      <c r="L20" t="s">
        <v>91</v>
      </c>
      <c r="M20" t="s">
        <v>91</v>
      </c>
    </row>
    <row r="21" spans="1:13">
      <c r="A21" s="6"/>
      <c r="B21" s="6" t="s">
        <v>370</v>
      </c>
      <c r="C21" s="6"/>
      <c r="D21" s="6"/>
      <c r="E21" s="6"/>
      <c r="F21" s="6"/>
      <c r="G21" s="336">
        <f ca="1">'Test de compensation'!D70</f>
        <v>0.39920625398575588</v>
      </c>
      <c r="H21" s="248"/>
    </row>
    <row r="22" spans="1:13">
      <c r="A22" s="6"/>
      <c r="B22" s="6"/>
      <c r="C22" s="6"/>
      <c r="D22" s="6"/>
      <c r="E22" s="6"/>
      <c r="F22" s="6"/>
      <c r="G22" s="102"/>
      <c r="H22" s="248"/>
    </row>
    <row r="23" spans="1:13">
      <c r="A23" s="243" t="s">
        <v>247</v>
      </c>
      <c r="B23" s="243"/>
      <c r="C23" s="6"/>
      <c r="D23" s="6"/>
      <c r="E23" s="6"/>
      <c r="F23" s="6"/>
      <c r="G23" s="49"/>
      <c r="H23" s="248"/>
      <c r="L23" t="s">
        <v>91</v>
      </c>
    </row>
    <row r="24" spans="1:13">
      <c r="A24" s="6"/>
      <c r="B24" s="6" t="s">
        <v>61</v>
      </c>
      <c r="C24" s="6"/>
      <c r="D24" s="6"/>
      <c r="E24" s="6"/>
      <c r="F24" s="6"/>
      <c r="G24" s="370">
        <f>G20*0.000012</f>
        <v>74.431712160000004</v>
      </c>
      <c r="H24" s="248"/>
      <c r="I24" t="s">
        <v>91</v>
      </c>
    </row>
    <row r="25" spans="1:13">
      <c r="A25" s="6"/>
      <c r="B25" s="6" t="s">
        <v>249</v>
      </c>
      <c r="C25" s="6"/>
      <c r="D25" s="6"/>
      <c r="E25" s="6"/>
      <c r="F25" s="6"/>
      <c r="G25" s="370">
        <f>(G20/1.07)*0.07</f>
        <v>405780.36224299064</v>
      </c>
      <c r="H25" s="6"/>
    </row>
    <row r="26" spans="1:13" ht="13.8" thickBot="1">
      <c r="A26" s="6"/>
      <c r="B26" s="6"/>
      <c r="C26" s="6"/>
      <c r="D26" s="6"/>
      <c r="E26" s="6"/>
      <c r="F26" s="6"/>
      <c r="G26" s="244"/>
      <c r="H26" s="6"/>
    </row>
    <row r="27" spans="1:13" s="2" customFormat="1" ht="13.8" thickBot="1">
      <c r="A27" s="243" t="s">
        <v>83</v>
      </c>
      <c r="B27" s="243"/>
      <c r="C27" s="243"/>
      <c r="D27" s="243"/>
      <c r="E27" s="243"/>
      <c r="F27" s="243"/>
      <c r="G27" s="143">
        <f>G33-G40</f>
        <v>7166830.6470062211</v>
      </c>
      <c r="H27" s="243"/>
    </row>
    <row r="28" spans="1:13">
      <c r="A28" s="6"/>
      <c r="B28" s="6"/>
      <c r="C28" s="6"/>
      <c r="D28" s="6"/>
      <c r="E28" s="6"/>
      <c r="F28" s="6"/>
      <c r="G28" s="6"/>
      <c r="H28" s="6"/>
    </row>
    <row r="29" spans="1:13" s="2" customFormat="1">
      <c r="A29" s="243" t="s">
        <v>344</v>
      </c>
      <c r="B29" s="243"/>
      <c r="C29" s="243"/>
      <c r="D29" s="243"/>
      <c r="E29" s="243"/>
      <c r="F29" s="243"/>
      <c r="G29" s="243"/>
      <c r="H29" s="243"/>
    </row>
    <row r="30" spans="1:13">
      <c r="A30" s="6"/>
      <c r="B30" s="6" t="s">
        <v>243</v>
      </c>
      <c r="C30" s="6"/>
      <c r="D30" s="6"/>
      <c r="E30" s="6"/>
      <c r="F30" s="6"/>
      <c r="G30" s="244">
        <f ca="1">'Test de compensation'!D143</f>
        <v>6202642.6799999997</v>
      </c>
      <c r="H30" s="248">
        <f>G30/G33</f>
        <v>0.72586293050663853</v>
      </c>
    </row>
    <row r="31" spans="1:13">
      <c r="A31" s="6"/>
      <c r="B31" s="6" t="s">
        <v>224</v>
      </c>
      <c r="C31" s="6"/>
      <c r="D31" s="6"/>
      <c r="E31" s="6"/>
      <c r="F31" s="6"/>
      <c r="G31" s="244">
        <f ca="1">'Test de compensation'!D144</f>
        <v>2222069.6210778127</v>
      </c>
      <c r="H31" s="248">
        <f>G31/G33</f>
        <v>0.26003722125507273</v>
      </c>
    </row>
    <row r="32" spans="1:13" ht="13.8" thickBot="1">
      <c r="A32" s="6"/>
      <c r="B32" s="6" t="s">
        <v>369</v>
      </c>
      <c r="C32" s="6"/>
      <c r="D32" s="6"/>
      <c r="E32" s="6"/>
      <c r="F32" s="6"/>
      <c r="G32" s="250">
        <f ca="1">'Test de compensation'!D145</f>
        <v>120485.99920000001</v>
      </c>
      <c r="H32" s="248">
        <f>G32/G33</f>
        <v>1.4099848238288734E-2</v>
      </c>
    </row>
    <row r="33" spans="1:8" ht="13.8" thickBot="1">
      <c r="A33" s="6"/>
      <c r="B33" s="6" t="s">
        <v>78</v>
      </c>
      <c r="C33" s="6"/>
      <c r="D33" s="6"/>
      <c r="E33" s="6"/>
      <c r="F33" s="6"/>
      <c r="G33" s="143">
        <f ca="1">'Calculs détaillés'!AB34</f>
        <v>8545198.3002778124</v>
      </c>
      <c r="H33" s="248">
        <f>SUM(H30:H32)</f>
        <v>0.99999999999999989</v>
      </c>
    </row>
    <row r="34" spans="1:8" s="2" customFormat="1">
      <c r="A34" s="243" t="s">
        <v>345</v>
      </c>
      <c r="B34" s="243"/>
      <c r="C34" s="243"/>
      <c r="D34" s="243"/>
      <c r="E34" s="243"/>
      <c r="F34" s="243"/>
      <c r="G34" s="243"/>
      <c r="H34" s="249"/>
    </row>
    <row r="35" spans="1:8">
      <c r="A35" s="6"/>
      <c r="B35" s="6" t="s">
        <v>280</v>
      </c>
      <c r="C35" s="6"/>
      <c r="D35" s="6"/>
      <c r="E35" s="6"/>
      <c r="F35" s="6"/>
      <c r="G35" s="244">
        <f ca="1">'Test de compensation'!C148</f>
        <v>501352.18270471646</v>
      </c>
      <c r="H35" s="248">
        <f>G35/G40</f>
        <v>0.36372892349493557</v>
      </c>
    </row>
    <row r="36" spans="1:8">
      <c r="A36" s="6"/>
      <c r="B36" s="6" t="s">
        <v>279</v>
      </c>
      <c r="C36" s="6"/>
      <c r="D36" s="6"/>
      <c r="E36" s="6"/>
      <c r="F36" s="6"/>
      <c r="G36" s="244">
        <f ca="1">'Test de compensation'!C149</f>
        <v>881920.12573798478</v>
      </c>
      <c r="H36" s="248">
        <f>G36/G40</f>
        <v>0.63982938343389351</v>
      </c>
    </row>
    <row r="37" spans="1:8">
      <c r="A37" s="6"/>
      <c r="B37" s="6" t="s">
        <v>278</v>
      </c>
      <c r="C37" s="6"/>
      <c r="D37" s="6"/>
      <c r="E37" s="6"/>
      <c r="F37" s="6"/>
      <c r="G37" s="244">
        <f ca="1">'Calculs détaillés'!F34+'Calculs détaillés'!H34</f>
        <v>87691.914592347966</v>
      </c>
      <c r="H37" s="248">
        <f>G37/G40</f>
        <v>6.3620119337688283E-2</v>
      </c>
    </row>
    <row r="38" spans="1:8">
      <c r="A38" s="6"/>
      <c r="B38" s="6" t="s">
        <v>276</v>
      </c>
      <c r="C38" s="6"/>
      <c r="D38" s="6"/>
      <c r="E38" s="6"/>
      <c r="F38" s="6"/>
      <c r="G38" s="244">
        <f ca="1">'Calculs détaillés'!G34</f>
        <v>-51098.400510176754</v>
      </c>
      <c r="H38" s="288">
        <f>G38/G40</f>
        <v>-3.7071677058652233E-2</v>
      </c>
    </row>
    <row r="39" spans="1:8" ht="13.8" thickBot="1">
      <c r="A39" s="6"/>
      <c r="B39" s="6" t="s">
        <v>223</v>
      </c>
      <c r="C39" s="6"/>
      <c r="D39" s="6"/>
      <c r="E39" s="6"/>
      <c r="F39" s="6"/>
      <c r="G39" s="250">
        <f ca="1">'Test de compensation'!C153</f>
        <v>-41498.169253281048</v>
      </c>
      <c r="H39" s="248">
        <f>G39/G40</f>
        <v>-3.010674920786488E-2</v>
      </c>
    </row>
    <row r="40" spans="1:8" ht="13.8" thickBot="1">
      <c r="A40" s="6"/>
      <c r="B40" s="6" t="s">
        <v>79</v>
      </c>
      <c r="C40" s="6"/>
      <c r="D40" s="6"/>
      <c r="E40" s="6"/>
      <c r="F40" s="6"/>
      <c r="G40" s="143">
        <f ca="1">'Calculs détaillés'!I34</f>
        <v>1378367.6532715911</v>
      </c>
      <c r="H40" s="248">
        <f>SUM(H35:H39)</f>
        <v>1</v>
      </c>
    </row>
    <row r="41" spans="1:8" s="2" customFormat="1" ht="13.8" thickBot="1">
      <c r="A41" s="243" t="s">
        <v>380</v>
      </c>
      <c r="B41" s="243"/>
      <c r="C41" s="243"/>
      <c r="D41" s="243"/>
      <c r="E41" s="243"/>
      <c r="F41" s="243"/>
      <c r="G41" s="243"/>
      <c r="H41" s="249"/>
    </row>
    <row r="42" spans="1:8" ht="13.8" thickBot="1">
      <c r="A42" s="6"/>
      <c r="B42" s="6" t="s">
        <v>239</v>
      </c>
      <c r="C42" s="6"/>
      <c r="D42" s="6"/>
      <c r="E42" s="6"/>
      <c r="F42" s="6"/>
      <c r="G42" s="143">
        <f ca="1">'Calculs détaillés'!AJ34</f>
        <v>197171.24844450981</v>
      </c>
      <c r="H42" s="248"/>
    </row>
    <row r="43" spans="1:8" ht="13.8" thickBot="1">
      <c r="A43" s="6"/>
      <c r="B43" s="222" t="s">
        <v>393</v>
      </c>
      <c r="C43" s="6"/>
      <c r="D43" s="6"/>
      <c r="E43" s="6"/>
      <c r="F43" s="6"/>
      <c r="G43" s="49"/>
      <c r="H43" s="248"/>
    </row>
    <row r="44" spans="1:8" ht="13.8" thickBot="1">
      <c r="A44" s="243" t="s">
        <v>2</v>
      </c>
      <c r="B44" s="222"/>
      <c r="C44" s="6"/>
      <c r="D44" s="6"/>
      <c r="E44" s="6"/>
      <c r="F44" s="6"/>
      <c r="G44" s="143">
        <f>G27+G42</f>
        <v>7364001.8954507308</v>
      </c>
      <c r="H44" s="248"/>
    </row>
    <row r="45" spans="1:8" s="2" customFormat="1">
      <c r="A45" s="243" t="s">
        <v>386</v>
      </c>
      <c r="B45" s="243"/>
      <c r="C45" s="243"/>
      <c r="D45" s="243"/>
      <c r="E45" s="243"/>
      <c r="F45" s="243"/>
      <c r="G45" s="243"/>
      <c r="H45" s="249"/>
    </row>
    <row r="46" spans="1:8">
      <c r="A46" s="6"/>
      <c r="B46" s="6" t="s">
        <v>225</v>
      </c>
      <c r="C46" s="6"/>
      <c r="D46" s="6"/>
      <c r="E46" s="6"/>
      <c r="F46" s="6"/>
      <c r="G46" s="244">
        <f ca="1">'Test de compensation'!C161</f>
        <v>3207862.04</v>
      </c>
      <c r="H46" s="248">
        <f>G46/G51</f>
        <v>0.65298204665439508</v>
      </c>
    </row>
    <row r="47" spans="1:8">
      <c r="A47" s="6"/>
      <c r="B47" s="6" t="s">
        <v>65</v>
      </c>
      <c r="C47" s="6"/>
      <c r="D47" s="6"/>
      <c r="E47" s="6"/>
      <c r="F47" s="6"/>
      <c r="G47" s="244">
        <f ca="1">'Test de compensation'!C162</f>
        <v>1499252.7910477635</v>
      </c>
      <c r="H47" s="248">
        <f>G47/G51</f>
        <v>0.30518306078732826</v>
      </c>
    </row>
    <row r="48" spans="1:8">
      <c r="A48" s="6"/>
      <c r="B48" s="6" t="s">
        <v>227</v>
      </c>
      <c r="C48" s="6"/>
      <c r="D48" s="6"/>
      <c r="E48" s="6"/>
      <c r="F48" s="6"/>
      <c r="G48" s="244">
        <f ca="1">'Test de compensation'!C164</f>
        <v>149190.77230189426</v>
      </c>
      <c r="H48" s="248">
        <f>G48/G51</f>
        <v>3.0368792243833764E-2</v>
      </c>
    </row>
    <row r="49" spans="1:8">
      <c r="A49" s="6"/>
      <c r="B49" s="6" t="s">
        <v>230</v>
      </c>
      <c r="C49" s="6"/>
      <c r="D49" s="6"/>
      <c r="E49" s="6"/>
      <c r="F49" s="6"/>
      <c r="G49" s="246">
        <f ca="1">'Test de compensation'!C163</f>
        <v>0</v>
      </c>
      <c r="H49" s="248">
        <f>G49/G51</f>
        <v>0</v>
      </c>
    </row>
    <row r="50" spans="1:8" ht="13.8" thickBot="1">
      <c r="A50" s="6"/>
      <c r="B50" s="6" t="s">
        <v>331</v>
      </c>
      <c r="C50" s="6"/>
      <c r="D50" s="6"/>
      <c r="E50" s="6"/>
      <c r="F50" s="6"/>
      <c r="G50" s="250">
        <f ca="1">'Test de compensation'!C165</f>
        <v>56328.758399999999</v>
      </c>
      <c r="H50" s="248">
        <f>G50/G51</f>
        <v>1.1466100314442746E-2</v>
      </c>
    </row>
    <row r="51" spans="1:8" ht="13.8" thickBot="1">
      <c r="A51" s="6" t="s">
        <v>91</v>
      </c>
      <c r="B51" s="6"/>
      <c r="C51" s="6"/>
      <c r="D51" s="6"/>
      <c r="E51" s="6"/>
      <c r="F51" s="6"/>
      <c r="G51" s="143">
        <f ca="1">'Calculs détaillés'!AI34</f>
        <v>4912634.3617496584</v>
      </c>
      <c r="H51" s="312">
        <f>SUM(H46:H50)</f>
        <v>0.99999999999999978</v>
      </c>
    </row>
    <row r="52" spans="1:8" s="2" customFormat="1">
      <c r="A52" s="243" t="s">
        <v>240</v>
      </c>
      <c r="B52" s="243"/>
      <c r="C52" s="243"/>
      <c r="D52" s="243"/>
      <c r="E52" s="243"/>
      <c r="F52" s="243"/>
      <c r="G52" s="49"/>
      <c r="H52" s="253"/>
    </row>
    <row r="53" spans="1:8">
      <c r="A53" s="6" t="s">
        <v>346</v>
      </c>
      <c r="B53" s="6"/>
      <c r="C53" s="244">
        <f ca="1">'Test de compensation'!C166</f>
        <v>4912634.3617496584</v>
      </c>
      <c r="D53" s="6"/>
      <c r="E53" s="6"/>
      <c r="F53" s="6"/>
    </row>
    <row r="54" spans="1:8">
      <c r="A54" s="6" t="s">
        <v>194</v>
      </c>
      <c r="B54" s="6"/>
      <c r="C54" s="244" t="s">
        <v>91</v>
      </c>
      <c r="D54" s="244">
        <f>G27</f>
        <v>7166830.6470062211</v>
      </c>
      <c r="E54" s="6"/>
      <c r="F54" s="6"/>
    </row>
    <row r="55" spans="1:8">
      <c r="A55" s="6" t="s">
        <v>97</v>
      </c>
      <c r="B55" s="6"/>
      <c r="C55" s="250" t="s">
        <v>91</v>
      </c>
      <c r="D55" s="247">
        <f>G42</f>
        <v>197171.24844450981</v>
      </c>
      <c r="E55" s="6"/>
      <c r="F55" s="6"/>
    </row>
    <row r="56" spans="1:8" ht="13.8" thickBot="1">
      <c r="A56" s="6" t="s">
        <v>98</v>
      </c>
      <c r="B56" s="6"/>
      <c r="C56" s="250" t="s">
        <v>91</v>
      </c>
      <c r="D56" s="244">
        <f>SUM(D54:D55)</f>
        <v>7364001.8954507308</v>
      </c>
      <c r="E56" s="6"/>
      <c r="F56" s="6"/>
    </row>
    <row r="57" spans="1:8" ht="13.8" thickBot="1">
      <c r="A57" s="243" t="s">
        <v>233</v>
      </c>
      <c r="B57" s="243"/>
      <c r="C57" s="143">
        <f>D56-C53</f>
        <v>2451367.5337010724</v>
      </c>
      <c r="D57" s="6"/>
      <c r="E57" s="6" t="s">
        <v>263</v>
      </c>
      <c r="F57" s="6"/>
    </row>
    <row r="58" spans="1:8" ht="13.8" thickBot="1">
      <c r="A58" s="243"/>
      <c r="B58" s="243"/>
      <c r="C58" s="102"/>
      <c r="D58" s="6"/>
      <c r="E58" s="6" t="s">
        <v>264</v>
      </c>
      <c r="F58" s="6"/>
    </row>
    <row r="59" spans="1:8" ht="13.8" thickBot="1">
      <c r="A59" s="6" t="s">
        <v>235</v>
      </c>
      <c r="B59" s="6"/>
      <c r="C59" s="260">
        <f ca="1">'Test de compensation'!D171</f>
        <v>0.66711476062825881</v>
      </c>
      <c r="D59" s="6"/>
      <c r="E59" s="6" t="s">
        <v>91</v>
      </c>
      <c r="F59" s="6"/>
    </row>
    <row r="60" spans="1:8">
      <c r="A60" s="6" t="s">
        <v>232</v>
      </c>
      <c r="B60" s="6"/>
      <c r="C60" s="245">
        <f ca="1">'Test de compensation'!D172</f>
        <v>0.15158416793586071</v>
      </c>
      <c r="D60" s="6" t="s">
        <v>347</v>
      </c>
      <c r="E60" s="6"/>
      <c r="F60" s="6"/>
    </row>
    <row r="61" spans="1:8" ht="13.8" thickBot="1">
      <c r="A61" s="6" t="s">
        <v>245</v>
      </c>
      <c r="B61" s="6"/>
      <c r="C61" s="245">
        <f ca="1">'Test de compensation'!D100/'Notice explicative'!C53</f>
        <v>0.22722352566911505</v>
      </c>
      <c r="D61" s="6" t="s">
        <v>348</v>
      </c>
      <c r="E61" s="6"/>
      <c r="F61" s="6"/>
    </row>
    <row r="62" spans="1:8" ht="13.8" thickBot="1">
      <c r="A62" s="6" t="s">
        <v>363</v>
      </c>
      <c r="B62" s="6"/>
      <c r="C62" s="245"/>
      <c r="D62" s="143">
        <f ca="1">'Calculs détaillés'!AI28</f>
        <v>24956.259218161445</v>
      </c>
      <c r="E62" s="6"/>
      <c r="F62" s="6"/>
    </row>
    <row r="63" spans="1:8">
      <c r="A63" s="6"/>
      <c r="B63" s="6"/>
      <c r="C63" s="245"/>
      <c r="D63" s="6"/>
      <c r="E63" s="6"/>
      <c r="F63" s="6"/>
    </row>
    <row r="64" spans="1:8">
      <c r="A64" s="243" t="s">
        <v>62</v>
      </c>
      <c r="B64" s="6"/>
      <c r="C64" s="245"/>
      <c r="D64" s="6"/>
      <c r="E64" s="6"/>
      <c r="F64" s="6"/>
    </row>
    <row r="65" spans="1:6">
      <c r="A65" s="6" t="s">
        <v>337</v>
      </c>
      <c r="B65" s="6"/>
      <c r="C65" s="245"/>
      <c r="D65" s="6"/>
      <c r="E65" s="6">
        <f>G14</f>
        <v>20</v>
      </c>
      <c r="F65" s="6" t="s">
        <v>226</v>
      </c>
    </row>
    <row r="66" spans="1:6">
      <c r="A66" s="6" t="s">
        <v>70</v>
      </c>
      <c r="B66" s="6"/>
      <c r="C66" s="245"/>
      <c r="D66" s="6"/>
      <c r="E66" s="6"/>
      <c r="F66" s="6"/>
    </row>
    <row r="67" spans="1:6">
      <c r="A67" s="6" t="s">
        <v>407</v>
      </c>
      <c r="B67" s="6"/>
      <c r="C67" s="245"/>
      <c r="D67" s="6"/>
      <c r="E67" s="6"/>
      <c r="F67" s="6"/>
    </row>
    <row r="68" spans="1:6">
      <c r="A68" s="6" t="s">
        <v>339</v>
      </c>
      <c r="B68" s="6"/>
      <c r="C68" s="245"/>
      <c r="D68" s="343">
        <f ca="1">'Test de compensation'!D70</f>
        <v>0.39920625398575588</v>
      </c>
      <c r="E68" s="6" t="s">
        <v>67</v>
      </c>
      <c r="F68" s="6"/>
    </row>
    <row r="69" spans="1:6">
      <c r="A69" s="6" t="s">
        <v>341</v>
      </c>
      <c r="B69" s="6"/>
      <c r="C69" s="245"/>
      <c r="D69" s="392">
        <f ca="1">'Test de compensation'!D129</f>
        <v>3.5900000000000001E-2</v>
      </c>
      <c r="E69" s="6"/>
      <c r="F69" s="6"/>
    </row>
    <row r="70" spans="1:6">
      <c r="A70" s="6" t="s">
        <v>406</v>
      </c>
      <c r="B70" s="6"/>
      <c r="C70" s="245"/>
      <c r="D70" s="6"/>
      <c r="E70" s="6"/>
      <c r="F70" s="6"/>
    </row>
    <row r="71" spans="1:6">
      <c r="A71" s="6" t="s">
        <v>332</v>
      </c>
      <c r="B71" s="6"/>
      <c r="C71" s="245"/>
      <c r="D71" s="6"/>
      <c r="E71" s="6"/>
      <c r="F71" s="6"/>
    </row>
    <row r="72" spans="1:6">
      <c r="A72" s="6" t="s">
        <v>63</v>
      </c>
      <c r="B72" s="6"/>
      <c r="C72" s="245"/>
      <c r="D72" s="6"/>
      <c r="E72" s="6"/>
      <c r="F72" s="6"/>
    </row>
    <row r="73" spans="1:6">
      <c r="A73" s="6" t="s">
        <v>333</v>
      </c>
      <c r="B73" s="6"/>
      <c r="C73" s="245"/>
      <c r="D73" s="6"/>
      <c r="E73" s="6"/>
      <c r="F73" s="6"/>
    </row>
    <row r="74" spans="1:6">
      <c r="A74" s="6" t="s">
        <v>66</v>
      </c>
      <c r="B74" s="6"/>
      <c r="C74" s="245"/>
      <c r="D74" s="6"/>
      <c r="E74" s="6"/>
      <c r="F74" s="6"/>
    </row>
    <row r="75" spans="1:6">
      <c r="A75" s="6" t="s">
        <v>334</v>
      </c>
      <c r="B75" s="6"/>
      <c r="C75" s="245"/>
      <c r="D75" s="6"/>
      <c r="E75" s="6"/>
      <c r="F75" s="6"/>
    </row>
    <row r="76" spans="1:6">
      <c r="A76" s="6" t="s">
        <v>71</v>
      </c>
      <c r="B76" s="6"/>
      <c r="C76" s="245"/>
      <c r="D76" s="6"/>
      <c r="E76" s="6"/>
      <c r="F76" s="6"/>
    </row>
    <row r="77" spans="1:6">
      <c r="A77" s="6" t="s">
        <v>336</v>
      </c>
      <c r="B77" s="6"/>
      <c r="C77" s="245"/>
      <c r="D77" s="6"/>
      <c r="E77" s="6"/>
      <c r="F77" s="6"/>
    </row>
    <row r="78" spans="1:6">
      <c r="A78" s="6" t="s">
        <v>335</v>
      </c>
      <c r="B78" s="6"/>
      <c r="C78" s="245"/>
      <c r="D78" s="6"/>
      <c r="E78" s="6"/>
      <c r="F78" s="6"/>
    </row>
    <row r="79" spans="1:6">
      <c r="A79" s="6" t="s">
        <v>338</v>
      </c>
      <c r="B79" s="6"/>
      <c r="C79" s="245"/>
      <c r="D79" s="6"/>
      <c r="E79" s="6"/>
      <c r="F79" s="6"/>
    </row>
    <row r="80" spans="1:6">
      <c r="A80" s="6" t="s">
        <v>342</v>
      </c>
      <c r="B80" s="6"/>
      <c r="C80" s="245"/>
      <c r="D80" s="6"/>
      <c r="E80" s="6"/>
      <c r="F80" s="6"/>
    </row>
    <row r="81" spans="1:7">
      <c r="A81" s="6" t="s">
        <v>72</v>
      </c>
      <c r="B81" s="6"/>
      <c r="C81" s="245"/>
      <c r="D81" s="6"/>
      <c r="E81" s="6"/>
      <c r="F81" s="6"/>
    </row>
    <row r="82" spans="1:7">
      <c r="A82" s="6"/>
      <c r="B82" s="6"/>
      <c r="C82" s="245"/>
      <c r="D82" s="6"/>
      <c r="E82" s="6"/>
      <c r="F82" s="6"/>
    </row>
    <row r="83" spans="1:7" ht="13.8" thickBot="1">
      <c r="A83" s="279"/>
      <c r="B83" s="279"/>
      <c r="C83" s="279"/>
      <c r="D83" s="279"/>
      <c r="E83" s="279"/>
      <c r="F83" s="279"/>
      <c r="G83" s="280"/>
    </row>
    <row r="84" spans="1:7" s="222" customFormat="1" ht="10.199999999999999">
      <c r="A84" s="222" t="s">
        <v>231</v>
      </c>
    </row>
    <row r="85" spans="1:7" s="222" customFormat="1" ht="10.199999999999999">
      <c r="A85" s="222" t="s">
        <v>244</v>
      </c>
    </row>
    <row r="87" spans="1:7" s="222" customFormat="1" ht="10.199999999999999">
      <c r="A87" s="222" t="s">
        <v>234</v>
      </c>
    </row>
    <row r="88" spans="1:7" s="222" customFormat="1" ht="10.199999999999999">
      <c r="A88" s="222" t="s">
        <v>349</v>
      </c>
    </row>
    <row r="89" spans="1:7" s="222" customFormat="1" ht="10.199999999999999">
      <c r="A89" s="222" t="s">
        <v>340</v>
      </c>
    </row>
    <row r="90" spans="1:7" s="222" customFormat="1" ht="10.199999999999999">
      <c r="A90" s="222" t="s">
        <v>343</v>
      </c>
    </row>
    <row r="92" spans="1:7" s="222" customFormat="1" ht="10.199999999999999">
      <c r="A92" s="222" t="s">
        <v>236</v>
      </c>
    </row>
  </sheetData>
  <phoneticPr fontId="2" type="noConversion"/>
  <hyperlinks>
    <hyperlink ref="E9" r:id="rId1"/>
    <hyperlink ref="E10" r:id="rId2" display="OHLM - SEM"/>
    <hyperlink ref="G1" r:id="rId3"/>
  </hyperlinks>
  <pageMargins left="0.78740157499999996" right="0.78740157499999996" top="0.984251969" bottom="0.984251969" header="0.4921259845" footer="0.4921259845"/>
  <pageSetup paperSize="9" scale="60" fitToHeight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Test de compensation</vt:lpstr>
      <vt:lpstr>Calculs détaillés</vt:lpstr>
      <vt:lpstr>Notice explicative</vt:lpstr>
      <vt:lpstr>'Test de compensation'!Zone_d_impression</vt:lpstr>
    </vt:vector>
  </TitlesOfParts>
  <Company>ush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ghekiere</dc:creator>
  <cp:lastModifiedBy>Laurent GHEKIERE</cp:lastModifiedBy>
  <cp:lastPrinted>2013-05-28T09:20:53Z</cp:lastPrinted>
  <dcterms:created xsi:type="dcterms:W3CDTF">2010-09-11T16:32:23Z</dcterms:created>
  <dcterms:modified xsi:type="dcterms:W3CDTF">2013-06-02T14:01:23Z</dcterms:modified>
</cp:coreProperties>
</file>